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ALedenev\Desktop\"/>
    </mc:Choice>
  </mc:AlternateContent>
  <bookViews>
    <workbookView xWindow="-120" yWindow="-120" windowWidth="24240" windowHeight="13140" tabRatio="832" firstSheet="1" activeTab="1"/>
  </bookViews>
  <sheets>
    <sheet name="Лист7" sheetId="67" state="hidden" r:id="rId1"/>
    <sheet name="на сайт" sheetId="113" r:id="rId2"/>
  </sheets>
  <calcPr calcId="152511"/>
</workbook>
</file>

<file path=xl/calcChain.xml><?xml version="1.0" encoding="utf-8"?>
<calcChain xmlns="http://schemas.openxmlformats.org/spreadsheetml/2006/main">
  <c r="J122" i="113" l="1"/>
  <c r="I122" i="113"/>
  <c r="J121" i="113"/>
  <c r="I121" i="113"/>
  <c r="D121" i="113"/>
  <c r="J120" i="113"/>
  <c r="I120" i="113"/>
  <c r="D120" i="113"/>
  <c r="J119" i="113"/>
  <c r="I119" i="113"/>
  <c r="D119" i="113"/>
  <c r="C117" i="113"/>
  <c r="J116" i="113"/>
  <c r="I116" i="113"/>
  <c r="D116" i="113"/>
  <c r="J115" i="113"/>
  <c r="I115" i="113"/>
  <c r="D115" i="113"/>
  <c r="K114" i="113"/>
  <c r="J114" i="113"/>
  <c r="I114" i="113"/>
  <c r="D114" i="113"/>
  <c r="K113" i="113"/>
  <c r="J113" i="113"/>
  <c r="I113" i="113"/>
  <c r="D113" i="113"/>
  <c r="H112" i="113"/>
  <c r="G112" i="113"/>
  <c r="F112" i="113"/>
  <c r="E112" i="113"/>
  <c r="C112" i="113"/>
  <c r="I111" i="113"/>
  <c r="H111" i="113"/>
  <c r="G111" i="113"/>
  <c r="J111" i="113" s="1"/>
  <c r="J110" i="113"/>
  <c r="I110" i="113"/>
  <c r="D110" i="113"/>
  <c r="J109" i="113"/>
  <c r="I109" i="113"/>
  <c r="D109" i="113"/>
  <c r="J108" i="113"/>
  <c r="I108" i="113"/>
  <c r="D108" i="113"/>
  <c r="J107" i="113"/>
  <c r="I107" i="113"/>
  <c r="D107" i="113"/>
  <c r="G106" i="113"/>
  <c r="G101" i="113" s="1"/>
  <c r="F106" i="113"/>
  <c r="E106" i="113"/>
  <c r="J105" i="113"/>
  <c r="I105" i="113"/>
  <c r="D105" i="113"/>
  <c r="J104" i="113"/>
  <c r="I104" i="113"/>
  <c r="D104" i="113"/>
  <c r="J103" i="113"/>
  <c r="I103" i="113"/>
  <c r="D103" i="113"/>
  <c r="J102" i="113"/>
  <c r="I102" i="113"/>
  <c r="D102" i="113"/>
  <c r="K101" i="113"/>
  <c r="H101" i="113"/>
  <c r="C101" i="113"/>
  <c r="J100" i="113"/>
  <c r="I100" i="113"/>
  <c r="D100" i="113"/>
  <c r="J99" i="113"/>
  <c r="I99" i="113"/>
  <c r="D99" i="113"/>
  <c r="J98" i="113"/>
  <c r="I98" i="113"/>
  <c r="D98" i="113"/>
  <c r="J97" i="113"/>
  <c r="I97" i="113"/>
  <c r="D97" i="113"/>
  <c r="K96" i="113"/>
  <c r="H96" i="113"/>
  <c r="G96" i="113"/>
  <c r="F96" i="113"/>
  <c r="E96" i="113"/>
  <c r="C96" i="113"/>
  <c r="F95" i="113"/>
  <c r="J95" i="113" s="1"/>
  <c r="J94" i="113"/>
  <c r="I94" i="113"/>
  <c r="D94" i="113"/>
  <c r="H93" i="113"/>
  <c r="H84" i="113" s="1"/>
  <c r="G93" i="113"/>
  <c r="G84" i="113" s="1"/>
  <c r="F93" i="113"/>
  <c r="E93" i="113"/>
  <c r="C93" i="113"/>
  <c r="C84" i="113" s="1"/>
  <c r="J92" i="113"/>
  <c r="I92" i="113"/>
  <c r="D92" i="113"/>
  <c r="J91" i="113"/>
  <c r="I91" i="113"/>
  <c r="D91" i="113"/>
  <c r="J90" i="113"/>
  <c r="I90" i="113"/>
  <c r="D90" i="113"/>
  <c r="J89" i="113"/>
  <c r="I89" i="113"/>
  <c r="D89" i="113"/>
  <c r="J88" i="113"/>
  <c r="I88" i="113"/>
  <c r="D88" i="113"/>
  <c r="E87" i="113"/>
  <c r="J87" i="113" s="1"/>
  <c r="J86" i="113"/>
  <c r="I86" i="113"/>
  <c r="D86" i="113"/>
  <c r="J85" i="113"/>
  <c r="I85" i="113"/>
  <c r="D85" i="113"/>
  <c r="K84" i="113"/>
  <c r="J83" i="113"/>
  <c r="I83" i="113"/>
  <c r="D83" i="113"/>
  <c r="J82" i="113"/>
  <c r="I82" i="113"/>
  <c r="D82" i="113"/>
  <c r="J81" i="113"/>
  <c r="I81" i="113"/>
  <c r="D81" i="113"/>
  <c r="J80" i="113"/>
  <c r="I80" i="113"/>
  <c r="D80" i="113"/>
  <c r="J79" i="113"/>
  <c r="I79" i="113"/>
  <c r="D79" i="113"/>
  <c r="K78" i="113"/>
  <c r="H78" i="113"/>
  <c r="G78" i="113"/>
  <c r="F78" i="113"/>
  <c r="E78" i="113"/>
  <c r="C78" i="113"/>
  <c r="K77" i="113"/>
  <c r="J77" i="113"/>
  <c r="I77" i="113"/>
  <c r="D77" i="113"/>
  <c r="K76" i="113"/>
  <c r="J76" i="113"/>
  <c r="I76" i="113"/>
  <c r="D76" i="113"/>
  <c r="J75" i="113"/>
  <c r="I75" i="113"/>
  <c r="D75" i="113"/>
  <c r="H74" i="113"/>
  <c r="G74" i="113"/>
  <c r="F74" i="113"/>
  <c r="E74" i="113"/>
  <c r="C74" i="113"/>
  <c r="K73" i="113"/>
  <c r="J73" i="113"/>
  <c r="I73" i="113"/>
  <c r="D73" i="113"/>
  <c r="K72" i="113"/>
  <c r="J72" i="113"/>
  <c r="I72" i="113"/>
  <c r="D72" i="113"/>
  <c r="K71" i="113"/>
  <c r="J71" i="113"/>
  <c r="I71" i="113"/>
  <c r="D71" i="113"/>
  <c r="K70" i="113"/>
  <c r="J70" i="113"/>
  <c r="I70" i="113"/>
  <c r="D70" i="113"/>
  <c r="J69" i="113"/>
  <c r="I69" i="113"/>
  <c r="D69" i="113"/>
  <c r="J68" i="113"/>
  <c r="I68" i="113"/>
  <c r="D68" i="113"/>
  <c r="H67" i="113"/>
  <c r="G67" i="113"/>
  <c r="F67" i="113"/>
  <c r="E67" i="113"/>
  <c r="C67" i="113"/>
  <c r="K66" i="113"/>
  <c r="D66" i="113"/>
  <c r="K65" i="113"/>
  <c r="J65" i="113"/>
  <c r="I65" i="113"/>
  <c r="D65" i="113"/>
  <c r="K64" i="113"/>
  <c r="J64" i="113"/>
  <c r="I64" i="113"/>
  <c r="D64" i="113"/>
  <c r="K63" i="113"/>
  <c r="J63" i="113"/>
  <c r="I63" i="113"/>
  <c r="D63" i="113"/>
  <c r="J62" i="113"/>
  <c r="I62" i="113"/>
  <c r="K61" i="113"/>
  <c r="K58" i="113" s="1"/>
  <c r="J61" i="113"/>
  <c r="I61" i="113"/>
  <c r="D61" i="113"/>
  <c r="J60" i="113"/>
  <c r="I60" i="113"/>
  <c r="D60" i="113"/>
  <c r="J59" i="113"/>
  <c r="I59" i="113"/>
  <c r="H59" i="113"/>
  <c r="H58" i="113" s="1"/>
  <c r="G59" i="113"/>
  <c r="G58" i="113" s="1"/>
  <c r="F59" i="113"/>
  <c r="E59" i="113"/>
  <c r="E58" i="113" s="1"/>
  <c r="C58" i="113"/>
  <c r="J56" i="113"/>
  <c r="I56" i="113"/>
  <c r="D56" i="113"/>
  <c r="J55" i="113"/>
  <c r="I55" i="113"/>
  <c r="D55" i="113"/>
  <c r="H54" i="113"/>
  <c r="G54" i="113"/>
  <c r="F54" i="113"/>
  <c r="E54" i="113"/>
  <c r="J53" i="113"/>
  <c r="I53" i="113"/>
  <c r="D53" i="113"/>
  <c r="H52" i="113"/>
  <c r="H51" i="113" s="1"/>
  <c r="G52" i="113"/>
  <c r="G51" i="113" s="1"/>
  <c r="F52" i="113"/>
  <c r="F51" i="113" s="1"/>
  <c r="E52" i="113"/>
  <c r="C51" i="113"/>
  <c r="C50" i="113" s="1"/>
  <c r="J49" i="113"/>
  <c r="I49" i="113"/>
  <c r="D49" i="113"/>
  <c r="J48" i="113"/>
  <c r="I48" i="113"/>
  <c r="D48" i="113"/>
  <c r="J47" i="113"/>
  <c r="I47" i="113"/>
  <c r="D47" i="113"/>
  <c r="J46" i="113"/>
  <c r="I46" i="113"/>
  <c r="D46" i="113"/>
  <c r="J45" i="113"/>
  <c r="I45" i="113"/>
  <c r="D45" i="113"/>
  <c r="J44" i="113"/>
  <c r="I44" i="113"/>
  <c r="D44" i="113"/>
  <c r="K43" i="113"/>
  <c r="J43" i="113"/>
  <c r="I43" i="113"/>
  <c r="D43" i="113"/>
  <c r="K42" i="113"/>
  <c r="J42" i="113"/>
  <c r="I42" i="113"/>
  <c r="D42" i="113"/>
  <c r="F41" i="113"/>
  <c r="F38" i="113" s="1"/>
  <c r="E41" i="113"/>
  <c r="E38" i="113" s="1"/>
  <c r="K40" i="113"/>
  <c r="J40" i="113"/>
  <c r="I40" i="113"/>
  <c r="D40" i="113"/>
  <c r="K39" i="113"/>
  <c r="J39" i="113"/>
  <c r="I39" i="113"/>
  <c r="D39" i="113"/>
  <c r="H38" i="113"/>
  <c r="G38" i="113"/>
  <c r="C38" i="113"/>
  <c r="K37" i="113"/>
  <c r="F37" i="113"/>
  <c r="J37" i="113" s="1"/>
  <c r="K36" i="113"/>
  <c r="J36" i="113"/>
  <c r="I36" i="113"/>
  <c r="D36" i="113"/>
  <c r="K35" i="113"/>
  <c r="J35" i="113"/>
  <c r="I35" i="113"/>
  <c r="D35" i="113"/>
  <c r="J34" i="113"/>
  <c r="I34" i="113"/>
  <c r="D34" i="113"/>
  <c r="K33" i="113"/>
  <c r="J33" i="113"/>
  <c r="I33" i="113"/>
  <c r="D33" i="113"/>
  <c r="H32" i="113"/>
  <c r="G32" i="113"/>
  <c r="E32" i="113"/>
  <c r="C32" i="113"/>
  <c r="K31" i="113"/>
  <c r="J31" i="113"/>
  <c r="I31" i="113"/>
  <c r="D31" i="113"/>
  <c r="J30" i="113"/>
  <c r="I30" i="113"/>
  <c r="D30" i="113"/>
  <c r="H29" i="113"/>
  <c r="G29" i="113"/>
  <c r="F29" i="113"/>
  <c r="E29" i="113"/>
  <c r="C29" i="113"/>
  <c r="K27" i="113"/>
  <c r="J27" i="113" s="1"/>
  <c r="I27" i="113" s="1"/>
  <c r="H27" i="113" s="1"/>
  <c r="G27" i="113" s="1"/>
  <c r="F27" i="113" s="1"/>
  <c r="E27" i="113" s="1"/>
  <c r="D27" i="113" s="1"/>
  <c r="E26" i="113"/>
  <c r="J26" i="113" s="1"/>
  <c r="J25" i="113"/>
  <c r="I25" i="113"/>
  <c r="D25" i="113"/>
  <c r="J24" i="113"/>
  <c r="I24" i="113"/>
  <c r="D24" i="113"/>
  <c r="J23" i="113"/>
  <c r="I23" i="113"/>
  <c r="J22" i="113"/>
  <c r="I22" i="113"/>
  <c r="D22" i="113"/>
  <c r="J21" i="113"/>
  <c r="I21" i="113"/>
  <c r="D21" i="113"/>
  <c r="H20" i="113"/>
  <c r="H19" i="113" s="1"/>
  <c r="H118" i="113" s="1"/>
  <c r="H117" i="113" s="1"/>
  <c r="G20" i="113"/>
  <c r="G19" i="113" s="1"/>
  <c r="F20" i="113"/>
  <c r="F19" i="113" s="1"/>
  <c r="E20" i="113"/>
  <c r="C20" i="113"/>
  <c r="C19" i="113" s="1"/>
  <c r="K118" i="113"/>
  <c r="J18" i="113"/>
  <c r="I18" i="113"/>
  <c r="D18" i="113"/>
  <c r="J16" i="113"/>
  <c r="I16" i="113"/>
  <c r="D16" i="113"/>
  <c r="J15" i="113"/>
  <c r="I15" i="113"/>
  <c r="J14" i="113"/>
  <c r="I14" i="113"/>
  <c r="J13" i="113"/>
  <c r="I13" i="113"/>
  <c r="D13" i="113"/>
  <c r="H12" i="113"/>
  <c r="G12" i="113"/>
  <c r="F12" i="113"/>
  <c r="E12" i="113"/>
  <c r="C12" i="113"/>
  <c r="K11" i="113"/>
  <c r="J11" i="113"/>
  <c r="I11" i="113"/>
  <c r="D11" i="113"/>
  <c r="K10" i="113"/>
  <c r="J10" i="113"/>
  <c r="I10" i="113"/>
  <c r="D10" i="113"/>
  <c r="J9" i="113"/>
  <c r="I9" i="113"/>
  <c r="D9" i="113"/>
  <c r="H50" i="113" l="1"/>
  <c r="I96" i="113"/>
  <c r="K112" i="113"/>
  <c r="G50" i="113"/>
  <c r="I87" i="113"/>
  <c r="E84" i="113"/>
  <c r="I106" i="113"/>
  <c r="K67" i="113"/>
  <c r="K74" i="113"/>
  <c r="I112" i="113"/>
  <c r="J12" i="113"/>
  <c r="F32" i="113"/>
  <c r="I32" i="113" s="1"/>
  <c r="D78" i="113"/>
  <c r="F84" i="113"/>
  <c r="I84" i="113" s="1"/>
  <c r="J101" i="113"/>
  <c r="I37" i="113"/>
  <c r="D59" i="113"/>
  <c r="D58" i="113" s="1"/>
  <c r="I93" i="113"/>
  <c r="I20" i="113"/>
  <c r="I29" i="113"/>
  <c r="D95" i="113"/>
  <c r="G57" i="113"/>
  <c r="I67" i="113"/>
  <c r="D74" i="113"/>
  <c r="I95" i="113"/>
  <c r="K38" i="113"/>
  <c r="C57" i="113"/>
  <c r="C28" i="113" s="1"/>
  <c r="D96" i="113"/>
  <c r="D112" i="113"/>
  <c r="D20" i="113"/>
  <c r="I74" i="113"/>
  <c r="D87" i="113"/>
  <c r="I101" i="113"/>
  <c r="D106" i="113"/>
  <c r="D101" i="113" s="1"/>
  <c r="D29" i="113"/>
  <c r="D37" i="113"/>
  <c r="I52" i="113"/>
  <c r="H57" i="113"/>
  <c r="I78" i="113"/>
  <c r="F118" i="113"/>
  <c r="F117" i="113" s="1"/>
  <c r="F8" i="113"/>
  <c r="H8" i="113"/>
  <c r="D26" i="113"/>
  <c r="J29" i="113"/>
  <c r="J58" i="113"/>
  <c r="D93" i="113"/>
  <c r="F101" i="113"/>
  <c r="D111" i="113"/>
  <c r="I26" i="113"/>
  <c r="F50" i="113"/>
  <c r="J93" i="113"/>
  <c r="J106" i="113"/>
  <c r="I41" i="113"/>
  <c r="I54" i="113"/>
  <c r="F58" i="113"/>
  <c r="I38" i="113"/>
  <c r="D67" i="113"/>
  <c r="E101" i="113"/>
  <c r="E57" i="113" s="1"/>
  <c r="J74" i="113"/>
  <c r="I58" i="113"/>
  <c r="J78" i="113"/>
  <c r="J84" i="113"/>
  <c r="J112" i="113"/>
  <c r="C8" i="113"/>
  <c r="G118" i="113"/>
  <c r="G117" i="113" s="1"/>
  <c r="G8" i="113"/>
  <c r="I12" i="113"/>
  <c r="E19" i="113"/>
  <c r="J20" i="113"/>
  <c r="J38" i="113"/>
  <c r="D41" i="113"/>
  <c r="D38" i="113" s="1"/>
  <c r="J41" i="113"/>
  <c r="E51" i="113"/>
  <c r="D52" i="113"/>
  <c r="J52" i="113"/>
  <c r="D54" i="113"/>
  <c r="J54" i="113"/>
  <c r="J67" i="113"/>
  <c r="J96" i="113"/>
  <c r="D12" i="113"/>
  <c r="F57" i="113" l="1"/>
  <c r="F28" i="113" s="1"/>
  <c r="F124" i="113" s="1"/>
  <c r="J32" i="113"/>
  <c r="D32" i="113"/>
  <c r="H28" i="113"/>
  <c r="D84" i="113"/>
  <c r="G28" i="113"/>
  <c r="G124" i="113" s="1"/>
  <c r="K124" i="113"/>
  <c r="I57" i="113"/>
  <c r="C124" i="113"/>
  <c r="D19" i="113"/>
  <c r="H124" i="113"/>
  <c r="D57" i="113"/>
  <c r="C123" i="113"/>
  <c r="D6" i="113" s="1"/>
  <c r="E6" i="113" s="1"/>
  <c r="J51" i="113"/>
  <c r="D51" i="113"/>
  <c r="D50" i="113" s="1"/>
  <c r="E50" i="113"/>
  <c r="I51" i="113"/>
  <c r="E118" i="113"/>
  <c r="J19" i="113"/>
  <c r="I19" i="113"/>
  <c r="E8" i="113"/>
  <c r="J57" i="113" l="1"/>
  <c r="K123" i="113"/>
  <c r="J8" i="113"/>
  <c r="D8" i="113"/>
  <c r="I8" i="113"/>
  <c r="I50" i="113"/>
  <c r="J50" i="113"/>
  <c r="I118" i="113"/>
  <c r="E117" i="113"/>
  <c r="J118" i="113"/>
  <c r="D118" i="113"/>
  <c r="D117" i="113" s="1"/>
  <c r="I117" i="113" l="1"/>
  <c r="J117" i="113"/>
  <c r="E28" i="113"/>
  <c r="I28" i="113" l="1"/>
  <c r="J28" i="113"/>
  <c r="D28" i="113"/>
  <c r="E124" i="113"/>
  <c r="E123" i="113"/>
  <c r="F6" i="113" s="1"/>
  <c r="F123" i="113" s="1"/>
  <c r="G6" i="113" s="1"/>
  <c r="G123" i="113" s="1"/>
  <c r="H6" i="113" s="1"/>
  <c r="H123" i="113" s="1"/>
  <c r="D123" i="113" l="1"/>
  <c r="D124" i="113"/>
  <c r="I124" i="113"/>
  <c r="I123" i="113"/>
  <c r="J123" i="113"/>
  <c r="J124" i="113"/>
  <c r="C4" i="67" l="1"/>
  <c r="C3" i="67"/>
</calcChain>
</file>

<file path=xl/comments1.xml><?xml version="1.0" encoding="utf-8"?>
<comments xmlns="http://schemas.openxmlformats.org/spreadsheetml/2006/main">
  <authors>
    <author xml:space="preserve"> </author>
  </authors>
  <commentList>
    <comment ref="J5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27760 разница примерноусловная между февралем и мартом если договор с середины марта начнется</t>
        </r>
      </text>
    </comment>
  </commentList>
</comments>
</file>

<file path=xl/sharedStrings.xml><?xml version="1.0" encoding="utf-8"?>
<sst xmlns="http://schemas.openxmlformats.org/spreadsheetml/2006/main" count="202" uniqueCount="184">
  <si>
    <t>№ п/п</t>
  </si>
  <si>
    <t>Наименование статей</t>
  </si>
  <si>
    <t>I</t>
  </si>
  <si>
    <t>ДОХОДЫ , всего</t>
  </si>
  <si>
    <t>1</t>
  </si>
  <si>
    <t>Вступительные взносы</t>
  </si>
  <si>
    <t>1.1</t>
  </si>
  <si>
    <t>1.2</t>
  </si>
  <si>
    <t>2</t>
  </si>
  <si>
    <t>Членские взносы</t>
  </si>
  <si>
    <t>2.1</t>
  </si>
  <si>
    <t>2.2</t>
  </si>
  <si>
    <t>3</t>
  </si>
  <si>
    <t>Прочие доходы</t>
  </si>
  <si>
    <t>3.1</t>
  </si>
  <si>
    <t>3.2</t>
  </si>
  <si>
    <t>Вознаграждение по агентскому договору</t>
  </si>
  <si>
    <t>3.3</t>
  </si>
  <si>
    <t>Доход от размещения средств на депозите</t>
  </si>
  <si>
    <t>II</t>
  </si>
  <si>
    <t>РАСХОДЫ, всего</t>
  </si>
  <si>
    <t>Автотранспорт</t>
  </si>
  <si>
    <t>Вычислительная и оргтехника</t>
  </si>
  <si>
    <t>2.3</t>
  </si>
  <si>
    <t>Оборудование</t>
  </si>
  <si>
    <t>2.4</t>
  </si>
  <si>
    <t>Мебель</t>
  </si>
  <si>
    <t>2.5</t>
  </si>
  <si>
    <t>Инвентарь</t>
  </si>
  <si>
    <t>ГСМ</t>
  </si>
  <si>
    <t>3.4</t>
  </si>
  <si>
    <t xml:space="preserve">Хозяйственные материалы </t>
  </si>
  <si>
    <t>3.5</t>
  </si>
  <si>
    <t>3.6</t>
  </si>
  <si>
    <t>4</t>
  </si>
  <si>
    <t>Прочие расходы</t>
  </si>
  <si>
    <t>4.1</t>
  </si>
  <si>
    <t>4.2</t>
  </si>
  <si>
    <t>Расходы на страхование</t>
  </si>
  <si>
    <t>Страховые платежи ДМС</t>
  </si>
  <si>
    <t>КАСКО</t>
  </si>
  <si>
    <t>ОСАГО</t>
  </si>
  <si>
    <t>4.3</t>
  </si>
  <si>
    <t>Программное обеспечение и лицензии</t>
  </si>
  <si>
    <t>4.4</t>
  </si>
  <si>
    <t>Представительские расходы</t>
  </si>
  <si>
    <t xml:space="preserve">Расходы на охрану труда </t>
  </si>
  <si>
    <t>Ремонт помещений</t>
  </si>
  <si>
    <t>Услуги сторонних организаций</t>
  </si>
  <si>
    <t xml:space="preserve">Услуги связи </t>
  </si>
  <si>
    <t>Обслуживание и ремонт техники</t>
  </si>
  <si>
    <t>Аудиторские услуги</t>
  </si>
  <si>
    <t>Услуги банка</t>
  </si>
  <si>
    <t>Почтовые и телеграфные услуги</t>
  </si>
  <si>
    <t>Услуги охраны</t>
  </si>
  <si>
    <t>5</t>
  </si>
  <si>
    <t>Налоги, отчисления, платежи</t>
  </si>
  <si>
    <t>5.1</t>
  </si>
  <si>
    <t>5.2</t>
  </si>
  <si>
    <t>5.3</t>
  </si>
  <si>
    <t>5.4</t>
  </si>
  <si>
    <t>Налог на транспортное средство</t>
  </si>
  <si>
    <t>5.5</t>
  </si>
  <si>
    <t>Страховые взносы</t>
  </si>
  <si>
    <t>6</t>
  </si>
  <si>
    <t>Непредвиденные расходы</t>
  </si>
  <si>
    <t>Остаток денежных средств на конец периода</t>
  </si>
  <si>
    <t>Прочие материалы</t>
  </si>
  <si>
    <t>Канцелярские товары</t>
  </si>
  <si>
    <t>3.7</t>
  </si>
  <si>
    <t>Расходы на проведение собраний, советов</t>
  </si>
  <si>
    <t>Газфонд</t>
  </si>
  <si>
    <t>Нотариальные и юридические услуги</t>
  </si>
  <si>
    <t>Страхование имущества</t>
  </si>
  <si>
    <t>Транспортные расходы</t>
  </si>
  <si>
    <t>МБП - Оборудование</t>
  </si>
  <si>
    <t>МБП - Мебель</t>
  </si>
  <si>
    <t>МБП - Инвентарь</t>
  </si>
  <si>
    <t>3.1.1</t>
  </si>
  <si>
    <t>3.1.2</t>
  </si>
  <si>
    <t>Соц-культ. мероприятия</t>
  </si>
  <si>
    <t>Мойка</t>
  </si>
  <si>
    <t>Стоянка</t>
  </si>
  <si>
    <t>постоянная часть</t>
  </si>
  <si>
    <t>Расходы на проведение конференций</t>
  </si>
  <si>
    <t>проезд</t>
  </si>
  <si>
    <t>проживание</t>
  </si>
  <si>
    <t>суточные</t>
  </si>
  <si>
    <t>I квартал</t>
  </si>
  <si>
    <t>II квартал</t>
  </si>
  <si>
    <t>III квартал</t>
  </si>
  <si>
    <t>IV квартал</t>
  </si>
  <si>
    <t>план 9 месяцев</t>
  </si>
  <si>
    <t>прочие</t>
  </si>
  <si>
    <t>3.1.3</t>
  </si>
  <si>
    <t xml:space="preserve"> Материалы  для оргтехники </t>
  </si>
  <si>
    <t>проверка</t>
  </si>
  <si>
    <t>Неустойки полученные</t>
  </si>
  <si>
    <t>Госпошлина (возврат)</t>
  </si>
  <si>
    <t>Госпошлина</t>
  </si>
  <si>
    <t>Налог на доходы</t>
  </si>
  <si>
    <t>МБП - Вычислительная техника</t>
  </si>
  <si>
    <t>МБП - Оргтехника</t>
  </si>
  <si>
    <t>3.1.4</t>
  </si>
  <si>
    <t>3.1.5</t>
  </si>
  <si>
    <t>Арендная плата за помещение</t>
  </si>
  <si>
    <t>переменная  часть</t>
  </si>
  <si>
    <t>справочно:  количество вступивших</t>
  </si>
  <si>
    <t>2.1.1</t>
  </si>
  <si>
    <t>2.1.2</t>
  </si>
  <si>
    <t>журнал Бизнес</t>
  </si>
  <si>
    <t>рекламная продукция</t>
  </si>
  <si>
    <t>Расходы на мероприятия</t>
  </si>
  <si>
    <t>Расходы на участие в конференциях</t>
  </si>
  <si>
    <t>Прочие услуги сторонних организаций</t>
  </si>
  <si>
    <t>Подарки детям новогодние</t>
  </si>
  <si>
    <t xml:space="preserve">Прочие материальные расходы </t>
  </si>
  <si>
    <t>Услуги доступа в Интернет</t>
  </si>
  <si>
    <t>Расходы на командировки</t>
  </si>
  <si>
    <t>Расходы на рекламу</t>
  </si>
  <si>
    <t>5.6</t>
  </si>
  <si>
    <t>Членство в НОСТРОе и др. организациях</t>
  </si>
  <si>
    <t>Расходы на оплату труда</t>
  </si>
  <si>
    <t>Расходы на аренду и содержание помещения</t>
  </si>
  <si>
    <t>Текущие расходы</t>
  </si>
  <si>
    <t>5.7</t>
  </si>
  <si>
    <t>5.8</t>
  </si>
  <si>
    <t>5.9</t>
  </si>
  <si>
    <t>5.10</t>
  </si>
  <si>
    <t>5.11</t>
  </si>
  <si>
    <t>6.1</t>
  </si>
  <si>
    <t>6.2</t>
  </si>
  <si>
    <t>6.3</t>
  </si>
  <si>
    <t>7</t>
  </si>
  <si>
    <t>Расходы на ФОТ и страховые взносы</t>
  </si>
  <si>
    <t>Прочие транспортные расходы</t>
  </si>
  <si>
    <t xml:space="preserve">Услуги по содержанию здания </t>
  </si>
  <si>
    <t xml:space="preserve">ТО и ремонт </t>
  </si>
  <si>
    <t>Дефицит бюджета</t>
  </si>
  <si>
    <r>
      <t xml:space="preserve">Материалы - МБП </t>
    </r>
    <r>
      <rPr>
        <b/>
        <i/>
        <sz val="8"/>
        <color theme="1"/>
        <rFont val="Calibri"/>
        <family val="2"/>
        <charset val="204"/>
        <scheme val="minor"/>
      </rPr>
      <t>(ст-ю менее 40т.р. за ед.)</t>
    </r>
  </si>
  <si>
    <t>НОСТРОЙ</t>
  </si>
  <si>
    <t>ТПП</t>
  </si>
  <si>
    <t>А.А. Апостолов</t>
  </si>
  <si>
    <t>8</t>
  </si>
  <si>
    <t>9</t>
  </si>
  <si>
    <t>10</t>
  </si>
  <si>
    <t>11</t>
  </si>
  <si>
    <t>Зап.части и мат.для транспорта</t>
  </si>
  <si>
    <t>Информационно-вычислительные услуги ИВУ</t>
  </si>
  <si>
    <t>Подписка, тех.литература</t>
  </si>
  <si>
    <t xml:space="preserve">     в том числе Технадзор</t>
  </si>
  <si>
    <t>справочно:  количество вышедших</t>
  </si>
  <si>
    <t xml:space="preserve">     в том числе руководство</t>
  </si>
  <si>
    <t>чв 2014</t>
  </si>
  <si>
    <t>вход</t>
  </si>
  <si>
    <t>выход</t>
  </si>
  <si>
    <t>Остаток денежных средств на начало периода</t>
  </si>
  <si>
    <t>ООРНГП</t>
  </si>
  <si>
    <t>план полугодия</t>
  </si>
  <si>
    <t xml:space="preserve">     в том числе юротдел</t>
  </si>
  <si>
    <t>Услуги по разработке док-в (Стандарт)</t>
  </si>
  <si>
    <t>повышение квалификации</t>
  </si>
  <si>
    <t>сертификация СМК</t>
  </si>
  <si>
    <t xml:space="preserve">Генеральный директор Саморегулируемой организации Ассоциации 
строителей газового и нефтяного комплексов                                                         </t>
  </si>
  <si>
    <t>Услуги по содерж.и доработке сайта</t>
  </si>
  <si>
    <t xml:space="preserve">печать в период.изданиях, проч.реклама </t>
  </si>
  <si>
    <t xml:space="preserve">УТВЕРЖДЕНО
Общим собранием членов Саморегулируемой организации                                                                                                                                                                   Ассоциации строителей газового и нефтяного комплексов"
Приложение  №     к протоколу №      от "02" марта    2018 г.
Президент СРО АСГиНК _________________________Б.В. Будзуляк
</t>
  </si>
  <si>
    <t>Лизинг автотранспорта</t>
  </si>
  <si>
    <t xml:space="preserve">  от вступивших в 2019г</t>
  </si>
  <si>
    <t xml:space="preserve"> от вступивших до 2019г.</t>
  </si>
  <si>
    <t xml:space="preserve">Членские взносы прошлых лет                           </t>
  </si>
  <si>
    <t>прочие взносы</t>
  </si>
  <si>
    <t>Подготовка   и повыш. Квалификации кадров</t>
  </si>
  <si>
    <t xml:space="preserve"> План 2020г   </t>
  </si>
  <si>
    <t>факт 2019 г.</t>
  </si>
  <si>
    <t>МДК</t>
  </si>
  <si>
    <t>РОССНГС</t>
  </si>
  <si>
    <t xml:space="preserve">Членские взносы 2021г </t>
  </si>
  <si>
    <t xml:space="preserve">     в том числе УРГОиРНТД</t>
  </si>
  <si>
    <t>Членские взносы 2020г</t>
  </si>
  <si>
    <t>план 2021</t>
  </si>
  <si>
    <t xml:space="preserve">  СМЕТА доходов и расходов СРО АСГиНК на 2022 год</t>
  </si>
  <si>
    <t>Расходы на основные фонды и материальные затраты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</si>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</sst>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_-* #,##0.000_р_._-;\-* #,##0.0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8">
    <xf numFmtId="0" fontId="0" fillId="0" borderId="0" xfId="0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12" fillId="0" borderId="0" xfId="0" applyFont="1"/>
    <xf numFmtId="0" fontId="0" fillId="0" borderId="0" xfId="0" applyBorder="1"/>
    <xf numFmtId="0" fontId="0" fillId="0" borderId="4" xfId="0" applyBorder="1"/>
    <xf numFmtId="0" fontId="0" fillId="0" borderId="0" xfId="0" applyFill="1"/>
    <xf numFmtId="0" fontId="2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0" fillId="0" borderId="0" xfId="0"/>
    <xf numFmtId="3" fontId="5" fillId="3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 vertical="top" wrapText="1"/>
    </xf>
    <xf numFmtId="166" fontId="0" fillId="0" borderId="4" xfId="0" applyNumberFormat="1" applyBorder="1"/>
    <xf numFmtId="0" fontId="0" fillId="0" borderId="0" xfId="0"/>
    <xf numFmtId="3" fontId="20" fillId="0" borderId="4" xfId="70" applyNumberFormat="1" applyFont="1" applyFill="1" applyBorder="1" applyAlignment="1">
      <alignment horizontal="right"/>
    </xf>
    <xf numFmtId="3" fontId="4" fillId="0" borderId="4" xfId="70" applyNumberFormat="1" applyFont="1" applyFill="1" applyBorder="1" applyAlignment="1">
      <alignment horizontal="right"/>
    </xf>
    <xf numFmtId="0" fontId="19" fillId="0" borderId="4" xfId="0" applyFont="1" applyBorder="1" applyAlignment="1">
      <alignment horizontal="center" wrapText="1"/>
    </xf>
    <xf numFmtId="0" fontId="19" fillId="0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wrapText="1"/>
    </xf>
    <xf numFmtId="3" fontId="2" fillId="6" borderId="4" xfId="0" applyNumberFormat="1" applyFont="1" applyFill="1" applyBorder="1"/>
    <xf numFmtId="166" fontId="2" fillId="6" borderId="4" xfId="70" applyNumberFormat="1" applyFont="1" applyFill="1" applyBorder="1"/>
    <xf numFmtId="0" fontId="16" fillId="0" borderId="4" xfId="0" applyFont="1" applyBorder="1" applyAlignment="1">
      <alignment horizontal="right" wrapText="1"/>
    </xf>
    <xf numFmtId="3" fontId="16" fillId="0" borderId="4" xfId="70" applyNumberFormat="1" applyFont="1" applyBorder="1" applyAlignment="1">
      <alignment horizontal="right" wrapText="1"/>
    </xf>
    <xf numFmtId="166" fontId="3" fillId="0" borderId="4" xfId="70" applyNumberFormat="1" applyFont="1" applyBorder="1" applyAlignment="1">
      <alignment horizontal="center"/>
    </xf>
    <xf numFmtId="3" fontId="2" fillId="5" borderId="4" xfId="70" applyNumberFormat="1" applyFont="1" applyFill="1" applyBorder="1"/>
    <xf numFmtId="166" fontId="2" fillId="5" borderId="4" xfId="70" applyNumberFormat="1" applyFont="1" applyFill="1" applyBorder="1"/>
    <xf numFmtId="3" fontId="5" fillId="0" borderId="4" xfId="70" applyNumberFormat="1" applyFont="1" applyFill="1" applyBorder="1" applyAlignment="1">
      <alignment horizontal="center"/>
    </xf>
    <xf numFmtId="166" fontId="5" fillId="0" borderId="4" xfId="70" applyNumberFormat="1" applyFont="1" applyFill="1" applyBorder="1" applyAlignment="1">
      <alignment horizontal="center"/>
    </xf>
    <xf numFmtId="3" fontId="22" fillId="0" borderId="4" xfId="70" applyNumberFormat="1" applyFont="1" applyFill="1" applyBorder="1" applyAlignment="1">
      <alignment horizontal="right"/>
    </xf>
    <xf numFmtId="3" fontId="16" fillId="0" borderId="4" xfId="70" applyNumberFormat="1" applyFont="1" applyFill="1" applyBorder="1" applyAlignment="1">
      <alignment horizontal="right"/>
    </xf>
    <xf numFmtId="166" fontId="16" fillId="0" borderId="4" xfId="70" applyNumberFormat="1" applyFont="1" applyFill="1" applyBorder="1" applyAlignment="1">
      <alignment horizontal="right"/>
    </xf>
    <xf numFmtId="3" fontId="18" fillId="0" borderId="4" xfId="70" applyNumberFormat="1" applyFont="1" applyFill="1" applyBorder="1" applyAlignment="1">
      <alignment horizontal="right"/>
    </xf>
    <xf numFmtId="0" fontId="23" fillId="7" borderId="4" xfId="0" applyFont="1" applyFill="1" applyBorder="1" applyAlignment="1">
      <alignment horizontal="center" wrapText="1"/>
    </xf>
    <xf numFmtId="3" fontId="24" fillId="7" borderId="4" xfId="70" applyNumberFormat="1" applyFont="1" applyFill="1" applyBorder="1" applyAlignment="1">
      <alignment horizontal="right"/>
    </xf>
    <xf numFmtId="166" fontId="18" fillId="0" borderId="4" xfId="70" applyNumberFormat="1" applyFont="1" applyFill="1" applyBorder="1" applyAlignment="1">
      <alignment horizontal="right"/>
    </xf>
    <xf numFmtId="166" fontId="4" fillId="0" borderId="4" xfId="70" applyNumberFormat="1" applyFont="1" applyFill="1" applyBorder="1" applyAlignment="1">
      <alignment horizontal="right"/>
    </xf>
    <xf numFmtId="166" fontId="20" fillId="0" borderId="4" xfId="70" applyNumberFormat="1" applyFont="1" applyFill="1" applyBorder="1" applyAlignment="1">
      <alignment horizontal="right"/>
    </xf>
    <xf numFmtId="3" fontId="21" fillId="0" borderId="4" xfId="70" applyNumberFormat="1" applyFont="1" applyFill="1" applyBorder="1" applyAlignment="1">
      <alignment horizontal="right"/>
    </xf>
    <xf numFmtId="0" fontId="0" fillId="0" borderId="4" xfId="0" applyBorder="1" applyAlignment="1">
      <alignment wrapText="1"/>
    </xf>
    <xf numFmtId="3" fontId="0" fillId="0" borderId="4" xfId="70" applyNumberFormat="1" applyFont="1" applyBorder="1"/>
    <xf numFmtId="167" fontId="0" fillId="0" borderId="4" xfId="70" applyNumberFormat="1" applyFont="1" applyBorder="1"/>
    <xf numFmtId="3" fontId="2" fillId="6" borderId="4" xfId="70" applyNumberFormat="1" applyFont="1" applyFill="1" applyBorder="1"/>
    <xf numFmtId="166" fontId="21" fillId="0" borderId="4" xfId="70" applyNumberFormat="1" applyFont="1" applyFill="1" applyBorder="1" applyAlignment="1">
      <alignment horizontal="right"/>
    </xf>
    <xf numFmtId="0" fontId="2" fillId="0" borderId="0" xfId="0" applyFont="1" applyFill="1"/>
    <xf numFmtId="166" fontId="16" fillId="0" borderId="4" xfId="70" applyNumberFormat="1" applyFont="1" applyFill="1" applyBorder="1" applyAlignment="1">
      <alignment horizontal="left" wrapText="1"/>
    </xf>
    <xf numFmtId="43" fontId="2" fillId="4" borderId="0" xfId="0" applyNumberFormat="1" applyFont="1" applyFill="1" applyAlignment="1">
      <alignment horizontal="center" vertical="center" wrapText="1"/>
    </xf>
    <xf numFmtId="43" fontId="3" fillId="0" borderId="4" xfId="70" applyNumberFormat="1" applyFont="1" applyBorder="1" applyAlignment="1">
      <alignment horizontal="center"/>
    </xf>
    <xf numFmtId="43" fontId="5" fillId="0" borderId="4" xfId="70" applyNumberFormat="1" applyFont="1" applyFill="1" applyBorder="1" applyAlignment="1">
      <alignment horizontal="center"/>
    </xf>
    <xf numFmtId="43" fontId="4" fillId="0" borderId="4" xfId="70" applyNumberFormat="1" applyFont="1" applyFill="1" applyBorder="1" applyAlignment="1">
      <alignment horizontal="right"/>
    </xf>
    <xf numFmtId="43" fontId="18" fillId="0" borderId="4" xfId="70" applyNumberFormat="1" applyFont="1" applyFill="1" applyBorder="1" applyAlignment="1">
      <alignment horizontal="right"/>
    </xf>
    <xf numFmtId="43" fontId="0" fillId="0" borderId="4" xfId="70" applyNumberFormat="1" applyFont="1" applyBorder="1"/>
    <xf numFmtId="43" fontId="0" fillId="0" borderId="0" xfId="0" applyNumberFormat="1" applyAlignment="1">
      <alignment wrapText="1"/>
    </xf>
    <xf numFmtId="41" fontId="4" fillId="0" borderId="4" xfId="70" applyNumberFormat="1" applyFont="1" applyFill="1" applyBorder="1" applyAlignment="1">
      <alignment horizontal="right"/>
    </xf>
    <xf numFmtId="41" fontId="5" fillId="0" borderId="4" xfId="70" applyNumberFormat="1" applyFont="1" applyFill="1" applyBorder="1" applyAlignment="1">
      <alignment horizontal="right"/>
    </xf>
    <xf numFmtId="3" fontId="26" fillId="0" borderId="4" xfId="70" applyNumberFormat="1" applyFont="1" applyFill="1" applyBorder="1" applyAlignment="1">
      <alignment horizontal="right"/>
    </xf>
    <xf numFmtId="166" fontId="18" fillId="0" borderId="6" xfId="70" applyNumberFormat="1" applyFont="1" applyFill="1" applyBorder="1" applyAlignment="1">
      <alignment horizontal="right"/>
    </xf>
    <xf numFmtId="3" fontId="2" fillId="2" borderId="7" xfId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3" fontId="2" fillId="6" borderId="6" xfId="0" applyNumberFormat="1" applyFont="1" applyFill="1" applyBorder="1"/>
    <xf numFmtId="3" fontId="16" fillId="0" borderId="6" xfId="70" applyNumberFormat="1" applyFont="1" applyBorder="1" applyAlignment="1">
      <alignment horizontal="right" wrapText="1"/>
    </xf>
    <xf numFmtId="3" fontId="2" fillId="5" borderId="6" xfId="70" applyNumberFormat="1" applyFont="1" applyFill="1" applyBorder="1"/>
    <xf numFmtId="3" fontId="5" fillId="0" borderId="6" xfId="70" applyNumberFormat="1" applyFont="1" applyFill="1" applyBorder="1" applyAlignment="1">
      <alignment horizontal="center"/>
    </xf>
    <xf numFmtId="3" fontId="26" fillId="0" borderId="6" xfId="70" applyNumberFormat="1" applyFont="1" applyFill="1" applyBorder="1" applyAlignment="1">
      <alignment horizontal="right"/>
    </xf>
    <xf numFmtId="3" fontId="22" fillId="0" borderId="6" xfId="70" applyNumberFormat="1" applyFont="1" applyFill="1" applyBorder="1" applyAlignment="1">
      <alignment horizontal="right"/>
    </xf>
    <xf numFmtId="3" fontId="20" fillId="0" borderId="6" xfId="70" applyNumberFormat="1" applyFont="1" applyFill="1" applyBorder="1" applyAlignment="1">
      <alignment horizontal="right"/>
    </xf>
    <xf numFmtId="3" fontId="16" fillId="0" borderId="6" xfId="70" applyNumberFormat="1" applyFont="1" applyFill="1" applyBorder="1" applyAlignment="1">
      <alignment horizontal="right"/>
    </xf>
    <xf numFmtId="3" fontId="24" fillId="7" borderId="6" xfId="70" applyNumberFormat="1" applyFont="1" applyFill="1" applyBorder="1" applyAlignment="1">
      <alignment horizontal="right"/>
    </xf>
    <xf numFmtId="166" fontId="2" fillId="5" borderId="5" xfId="70" applyNumberFormat="1" applyFont="1" applyFill="1" applyBorder="1"/>
    <xf numFmtId="3" fontId="18" fillId="0" borderId="8" xfId="70" applyNumberFormat="1" applyFont="1" applyFill="1" applyBorder="1" applyAlignment="1">
      <alignment horizontal="right"/>
    </xf>
    <xf numFmtId="3" fontId="18" fillId="0" borderId="6" xfId="70" applyNumberFormat="1" applyFont="1" applyFill="1" applyBorder="1" applyAlignment="1">
      <alignment horizontal="right"/>
    </xf>
    <xf numFmtId="166" fontId="18" fillId="0" borderId="8" xfId="70" applyNumberFormat="1" applyFont="1" applyFill="1" applyBorder="1" applyAlignment="1">
      <alignment horizontal="right"/>
    </xf>
    <xf numFmtId="3" fontId="20" fillId="0" borderId="8" xfId="70" applyNumberFormat="1" applyFont="1" applyFill="1" applyBorder="1" applyAlignment="1">
      <alignment horizontal="right"/>
    </xf>
    <xf numFmtId="3" fontId="4" fillId="0" borderId="6" xfId="70" applyNumberFormat="1" applyFont="1" applyFill="1" applyBorder="1" applyAlignment="1">
      <alignment horizontal="right"/>
    </xf>
    <xf numFmtId="3" fontId="21" fillId="0" borderId="6" xfId="70" applyNumberFormat="1" applyFont="1" applyFill="1" applyBorder="1" applyAlignment="1">
      <alignment horizontal="right"/>
    </xf>
    <xf numFmtId="3" fontId="27" fillId="0" borderId="6" xfId="70" applyNumberFormat="1" applyFont="1" applyFill="1" applyBorder="1" applyAlignment="1">
      <alignment horizontal="right"/>
    </xf>
    <xf numFmtId="166" fontId="20" fillId="0" borderId="3" xfId="70" applyNumberFormat="1" applyFont="1" applyFill="1" applyBorder="1" applyAlignment="1">
      <alignment horizontal="right"/>
    </xf>
    <xf numFmtId="3" fontId="0" fillId="0" borderId="6" xfId="70" applyNumberFormat="1" applyFont="1" applyBorder="1"/>
    <xf numFmtId="3" fontId="2" fillId="6" borderId="6" xfId="70" applyNumberFormat="1" applyFont="1" applyFill="1" applyBorder="1"/>
    <xf numFmtId="3" fontId="12" fillId="0" borderId="9" xfId="0" applyNumberFormat="1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43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center"/>
    </xf>
    <xf numFmtId="0" fontId="2" fillId="0" borderId="4" xfId="0" applyFont="1" applyBorder="1"/>
    <xf numFmtId="49" fontId="2" fillId="6" borderId="4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66" fontId="5" fillId="4" borderId="4" xfId="70" applyNumberFormat="1" applyFont="1" applyFill="1" applyBorder="1"/>
    <xf numFmtId="166" fontId="5" fillId="0" borderId="4" xfId="0" applyNumberFormat="1" applyFont="1" applyBorder="1"/>
    <xf numFmtId="166" fontId="14" fillId="4" borderId="4" xfId="70" applyNumberFormat="1" applyFont="1" applyFill="1" applyBorder="1" applyAlignment="1">
      <alignment horizontal="right"/>
    </xf>
    <xf numFmtId="166" fontId="16" fillId="4" borderId="4" xfId="70" applyNumberFormat="1" applyFont="1" applyFill="1" applyBorder="1" applyAlignment="1">
      <alignment horizontal="right"/>
    </xf>
    <xf numFmtId="166" fontId="0" fillId="0" borderId="4" xfId="0" applyNumberFormat="1" applyFill="1" applyBorder="1"/>
    <xf numFmtId="166" fontId="12" fillId="5" borderId="4" xfId="70" applyNumberFormat="1" applyFont="1" applyFill="1" applyBorder="1"/>
    <xf numFmtId="166" fontId="14" fillId="0" borderId="4" xfId="70" applyNumberFormat="1" applyFont="1" applyFill="1" applyBorder="1" applyAlignment="1">
      <alignment horizontal="right"/>
    </xf>
    <xf numFmtId="164" fontId="5" fillId="0" borderId="4" xfId="70" applyNumberFormat="1" applyFont="1" applyFill="1" applyBorder="1" applyAlignment="1">
      <alignment horizontal="center"/>
    </xf>
    <xf numFmtId="164" fontId="20" fillId="0" borderId="4" xfId="70" applyNumberFormat="1" applyFont="1" applyFill="1" applyBorder="1" applyAlignment="1">
      <alignment horizontal="right"/>
    </xf>
    <xf numFmtId="164" fontId="16" fillId="0" borderId="4" xfId="70" applyNumberFormat="1" applyFont="1" applyFill="1" applyBorder="1" applyAlignment="1">
      <alignment horizontal="left" wrapText="1"/>
    </xf>
    <xf numFmtId="49" fontId="0" fillId="0" borderId="4" xfId="0" applyNumberFormat="1" applyBorder="1" applyAlignment="1">
      <alignment horizontal="center"/>
    </xf>
    <xf numFmtId="165" fontId="0" fillId="0" borderId="4" xfId="70" applyNumberFormat="1" applyFont="1" applyFill="1" applyBorder="1"/>
    <xf numFmtId="0" fontId="12" fillId="0" borderId="4" xfId="0" applyFont="1" applyBorder="1" applyAlignment="1">
      <alignment horizontal="right" wrapText="1"/>
    </xf>
    <xf numFmtId="166" fontId="12" fillId="0" borderId="4" xfId="0" applyNumberFormat="1" applyFont="1" applyBorder="1" applyAlignment="1">
      <alignment horizontal="center" wrapText="1"/>
    </xf>
    <xf numFmtId="3" fontId="12" fillId="0" borderId="4" xfId="0" applyNumberFormat="1" applyFont="1" applyBorder="1" applyAlignment="1">
      <alignment horizontal="center" wrapText="1"/>
    </xf>
    <xf numFmtId="3" fontId="12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2" fillId="4" borderId="0" xfId="0" applyNumberFormat="1" applyFont="1" applyFill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49" fontId="2" fillId="4" borderId="4" xfId="0" applyNumberFormat="1" applyFont="1" applyFill="1" applyBorder="1" applyAlignment="1">
      <alignment horizontal="center"/>
    </xf>
    <xf numFmtId="166" fontId="2" fillId="4" borderId="4" xfId="70" applyNumberFormat="1" applyFont="1" applyFill="1" applyBorder="1"/>
    <xf numFmtId="3" fontId="20" fillId="4" borderId="4" xfId="70" applyNumberFormat="1" applyFont="1" applyFill="1" applyBorder="1" applyAlignment="1">
      <alignment horizontal="right"/>
    </xf>
    <xf numFmtId="3" fontId="16" fillId="4" borderId="4" xfId="70" applyNumberFormat="1" applyFont="1" applyFill="1" applyBorder="1" applyAlignment="1">
      <alignment horizontal="right"/>
    </xf>
    <xf numFmtId="3" fontId="24" fillId="4" borderId="4" xfId="70" applyNumberFormat="1" applyFont="1" applyFill="1" applyBorder="1" applyAlignment="1">
      <alignment horizontal="right"/>
    </xf>
    <xf numFmtId="3" fontId="18" fillId="4" borderId="4" xfId="70" applyNumberFormat="1" applyFont="1" applyFill="1" applyBorder="1" applyAlignment="1">
      <alignment horizontal="right"/>
    </xf>
    <xf numFmtId="166" fontId="18" fillId="4" borderId="4" xfId="70" applyNumberFormat="1" applyFont="1" applyFill="1" applyBorder="1" applyAlignment="1">
      <alignment horizontal="right"/>
    </xf>
    <xf numFmtId="3" fontId="4" fillId="4" borderId="4" xfId="70" applyNumberFormat="1" applyFont="1" applyFill="1" applyBorder="1" applyAlignment="1">
      <alignment horizontal="right"/>
    </xf>
    <xf numFmtId="3" fontId="5" fillId="4" borderId="4" xfId="70" applyNumberFormat="1" applyFont="1" applyFill="1" applyBorder="1" applyAlignment="1">
      <alignment horizontal="center"/>
    </xf>
    <xf numFmtId="3" fontId="21" fillId="4" borderId="4" xfId="70" applyNumberFormat="1" applyFont="1" applyFill="1" applyBorder="1" applyAlignment="1">
      <alignment horizontal="right"/>
    </xf>
    <xf numFmtId="166" fontId="20" fillId="4" borderId="4" xfId="7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top" wrapText="1"/>
    </xf>
    <xf numFmtId="0" fontId="0" fillId="0" borderId="0" xfId="0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2" xfId="8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2" xfId="14"/>
    <cellStyle name="Обычный 2 2 2" xfId="15"/>
    <cellStyle name="Обычный 2 2 2 2" xfId="16"/>
    <cellStyle name="Обычный 2 2 2 3" xfId="17"/>
    <cellStyle name="Обычный 2 2 2 4" xfId="18"/>
    <cellStyle name="Обычный 2 2 2 5" xfId="19"/>
    <cellStyle name="Обычный 2 2 3" xfId="20"/>
    <cellStyle name="Обычный 2 2 4" xfId="21"/>
    <cellStyle name="Обычный 2 2 5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9"/>
    <cellStyle name="Обычный 3" xfId="30"/>
    <cellStyle name="Обычный 3 2" xfId="31"/>
    <cellStyle name="Обычный 3 2 2" xfId="32"/>
    <cellStyle name="Обычный 3 2 3" xfId="33"/>
    <cellStyle name="Обычный 3 2 4" xfId="34"/>
    <cellStyle name="Обычный 3 2 5" xfId="35"/>
    <cellStyle name="Обычный 3 3" xfId="36"/>
    <cellStyle name="Обычный 3 4" xfId="37"/>
    <cellStyle name="Обычный 3 5" xfId="38"/>
    <cellStyle name="Обычный 4" xfId="39"/>
    <cellStyle name="Обычный 4 2" xfId="40"/>
    <cellStyle name="Обычный 4 3" xfId="41"/>
    <cellStyle name="Обычный 4 4" xfId="42"/>
    <cellStyle name="Обычный 4 5" xfId="43"/>
    <cellStyle name="Обычный 5" xfId="44"/>
    <cellStyle name="Обычный 5 2" xfId="45"/>
    <cellStyle name="Обычный 5 3" xfId="46"/>
    <cellStyle name="Обычный 5 4" xfId="47"/>
    <cellStyle name="Обычный 5 5" xfId="48"/>
    <cellStyle name="Обычный 6" xfId="49"/>
    <cellStyle name="Обычный 6 2" xfId="50"/>
    <cellStyle name="Обычный 6 3" xfId="51"/>
    <cellStyle name="Обычный 6 4" xfId="52"/>
    <cellStyle name="Обычный 6 5" xfId="53"/>
    <cellStyle name="Обычный 7" xfId="54"/>
    <cellStyle name="Обычный 7 2" xfId="55"/>
    <cellStyle name="Обычный 7 3" xfId="56"/>
    <cellStyle name="Обычный 7 4" xfId="57"/>
    <cellStyle name="Обычный 7 5" xfId="58"/>
    <cellStyle name="Обычный 8" xfId="59"/>
    <cellStyle name="Обычный 8 2" xfId="60"/>
    <cellStyle name="Обычный 8 3" xfId="61"/>
    <cellStyle name="Обычный 8 4" xfId="62"/>
    <cellStyle name="Обычный 8 5" xfId="63"/>
    <cellStyle name="Обычный 9" xfId="64"/>
    <cellStyle name="Обычный 9 2" xfId="65"/>
    <cellStyle name="Обычный 9 3" xfId="66"/>
    <cellStyle name="Обычный 9 4" xfId="67"/>
    <cellStyle name="Обычный 9 5" xfId="68"/>
    <cellStyle name="Процентный" xfId="1" builtinId="5"/>
    <cellStyle name="Процентный 2" xfId="69"/>
    <cellStyle name="Финансовый" xfId="70" builtinId="3"/>
    <cellStyle name="Финансовый 2" xfId="7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4"/>
  <sheetViews>
    <sheetView workbookViewId="0">
      <selection activeCell="F26" sqref="F26"/>
    </sheetView>
  </sheetViews>
  <sheetFormatPr defaultRowHeight="15" customHeight="1" x14ac:dyDescent="0.25"/>
  <sheetData>
    <row r="1" spans="1:7" x14ac:dyDescent="0.25">
      <c r="A1" s="12" t="s">
        <v>153</v>
      </c>
    </row>
    <row r="3" spans="1:7" x14ac:dyDescent="0.25">
      <c r="B3" s="12" t="s">
        <v>154</v>
      </c>
      <c r="C3" s="10">
        <f>D3+E3+F3+G3</f>
        <v>45</v>
      </c>
      <c r="D3" s="11">
        <v>12</v>
      </c>
      <c r="E3" s="11">
        <v>12</v>
      </c>
      <c r="F3" s="11">
        <v>12</v>
      </c>
      <c r="G3" s="11">
        <v>9</v>
      </c>
    </row>
    <row r="4" spans="1:7" x14ac:dyDescent="0.25">
      <c r="B4" s="12" t="s">
        <v>155</v>
      </c>
      <c r="C4" s="13">
        <f>D4+E4+F4+G4</f>
        <v>30</v>
      </c>
      <c r="D4" s="9">
        <v>12</v>
      </c>
      <c r="E4" s="9">
        <v>5</v>
      </c>
      <c r="F4" s="9">
        <v>5</v>
      </c>
      <c r="G4" s="9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4"/>
  <sheetViews>
    <sheetView tabSelected="1" workbookViewId="0">
      <selection activeCell="A2" sqref="A2"/>
    </sheetView>
  </sheetViews>
  <sheetFormatPr defaultColWidth="9.140625" defaultRowHeight="15" customHeight="1" x14ac:dyDescent="0.25"/>
  <cols>
    <col min="1" max="1" width="5.5703125" customWidth="1"/>
    <col min="2" max="2" width="56.28515625" customWidth="1"/>
    <col min="3" max="3" width="14.5703125" hidden="1" customWidth="1"/>
    <col min="4" max="4" width="15" hidden="1" customWidth="1"/>
    <col min="5" max="5" width="18.5703125" hidden="1" customWidth="1"/>
    <col min="6" max="6" width="15.28515625" hidden="1" customWidth="1"/>
    <col min="7" max="7" width="14.5703125" hidden="1" customWidth="1"/>
    <col min="8" max="8" width="14.7109375" hidden="1" customWidth="1"/>
    <col min="9" max="10" width="14.42578125" hidden="1" customWidth="1"/>
    <col min="11" max="11" width="26.140625" customWidth="1"/>
    <col min="12" max="12" width="15" hidden="1" customWidth="1"/>
  </cols>
  <sheetData>
    <row r="1" spans="1:28" x14ac:dyDescent="0.25">
      <c r="A1" s="1"/>
      <c r="B1" s="123"/>
      <c r="C1" s="123"/>
      <c r="D1" s="123"/>
      <c r="E1" s="54"/>
      <c r="F1" s="123"/>
      <c r="G1" s="123"/>
      <c r="H1" s="123"/>
      <c r="I1" s="16"/>
      <c r="J1" s="16"/>
      <c r="K1" s="123"/>
      <c r="L1" s="108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5.75" customHeight="1" x14ac:dyDescent="0.25">
      <c r="A2" s="14"/>
      <c r="B2" s="124" t="s">
        <v>166</v>
      </c>
      <c r="C2" s="124"/>
      <c r="D2" s="124"/>
      <c r="E2" s="124"/>
      <c r="F2" s="124"/>
      <c r="G2" s="124"/>
      <c r="H2" s="124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6.5" customHeight="1" thickBot="1" x14ac:dyDescent="0.3">
      <c r="A3" s="127" t="s">
        <v>181</v>
      </c>
      <c r="B3" s="127"/>
      <c r="C3" s="125"/>
      <c r="D3" s="125"/>
      <c r="E3" s="48"/>
      <c r="F3" s="109"/>
      <c r="G3" s="109"/>
      <c r="H3" s="109"/>
      <c r="I3" s="122"/>
      <c r="J3" s="122"/>
      <c r="K3" s="122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28" ht="31.5" x14ac:dyDescent="0.25">
      <c r="A4" s="82" t="s">
        <v>0</v>
      </c>
      <c r="B4" s="83" t="s">
        <v>1</v>
      </c>
      <c r="C4" s="83" t="s">
        <v>174</v>
      </c>
      <c r="D4" s="84" t="s">
        <v>173</v>
      </c>
      <c r="E4" s="85" t="s">
        <v>88</v>
      </c>
      <c r="F4" s="83" t="s">
        <v>89</v>
      </c>
      <c r="G4" s="83" t="s">
        <v>90</v>
      </c>
      <c r="H4" s="83" t="s">
        <v>91</v>
      </c>
      <c r="I4" s="86" t="s">
        <v>158</v>
      </c>
      <c r="J4" s="86" t="s">
        <v>92</v>
      </c>
      <c r="K4" s="84" t="s">
        <v>180</v>
      </c>
      <c r="L4" s="5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5">
      <c r="A5" s="87"/>
      <c r="B5" s="19"/>
      <c r="C5" s="19"/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88"/>
      <c r="J5" s="88"/>
      <c r="K5" s="20"/>
      <c r="L5" s="6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hidden="1" customHeight="1" x14ac:dyDescent="0.25">
      <c r="A6" s="89"/>
      <c r="B6" s="21" t="s">
        <v>156</v>
      </c>
      <c r="C6" s="22">
        <v>35308286</v>
      </c>
      <c r="D6" s="22" t="e">
        <f>C123</f>
        <v>#REF!</v>
      </c>
      <c r="E6" s="23" t="e">
        <f>D6</f>
        <v>#REF!</v>
      </c>
      <c r="F6" s="23" t="e">
        <f>E123</f>
        <v>#REF!</v>
      </c>
      <c r="G6" s="23" t="e">
        <f>F123</f>
        <v>#REF!</v>
      </c>
      <c r="H6" s="23" t="e">
        <f>G123</f>
        <v>#REF!</v>
      </c>
      <c r="I6" s="6"/>
      <c r="J6" s="6"/>
      <c r="K6" s="22">
        <v>34260170</v>
      </c>
      <c r="L6" s="61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5" hidden="1" customHeight="1" x14ac:dyDescent="0.25">
      <c r="A7" s="90"/>
      <c r="B7" s="24"/>
      <c r="C7" s="24"/>
      <c r="D7" s="25"/>
      <c r="E7" s="49"/>
      <c r="F7" s="26"/>
      <c r="G7" s="26"/>
      <c r="H7" s="26"/>
      <c r="I7" s="6"/>
      <c r="J7" s="6"/>
      <c r="K7" s="25"/>
      <c r="L7" s="62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5.75" customHeight="1" x14ac:dyDescent="0.25">
      <c r="A8" s="111" t="s">
        <v>2</v>
      </c>
      <c r="B8" s="110" t="s">
        <v>3</v>
      </c>
      <c r="C8" s="27">
        <f>C9+C12+C19</f>
        <v>67639821.159999996</v>
      </c>
      <c r="D8" s="27">
        <f t="shared" ref="D8:G37" si="0">E8+F8+G8+H8</f>
        <v>65624852</v>
      </c>
      <c r="E8" s="28">
        <f>E9+E12+E19</f>
        <v>8163451</v>
      </c>
      <c r="F8" s="28">
        <f>F9+F12+F19</f>
        <v>22301664</v>
      </c>
      <c r="G8" s="28">
        <f>G9+G12+G19</f>
        <v>16774583</v>
      </c>
      <c r="H8" s="28">
        <f>H9+H12+H19</f>
        <v>18385154</v>
      </c>
      <c r="I8" s="15">
        <f>E8+F8</f>
        <v>30465115</v>
      </c>
      <c r="J8" s="15">
        <f>E8+F8+G8</f>
        <v>47239698</v>
      </c>
      <c r="K8" s="112">
        <v>67163474</v>
      </c>
      <c r="L8" s="6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5.75" x14ac:dyDescent="0.25">
      <c r="A9" s="111" t="s">
        <v>4</v>
      </c>
      <c r="B9" s="110" t="s">
        <v>5</v>
      </c>
      <c r="C9" s="27">
        <v>750000</v>
      </c>
      <c r="D9" s="27">
        <f>SUM(E9:H9)</f>
        <v>750000</v>
      </c>
      <c r="E9" s="27">
        <v>200000</v>
      </c>
      <c r="F9" s="27">
        <v>150000</v>
      </c>
      <c r="G9" s="27">
        <v>200000</v>
      </c>
      <c r="H9" s="27">
        <v>200000</v>
      </c>
      <c r="I9" s="15">
        <f t="shared" ref="I9:I69" si="1">E9+F9</f>
        <v>350000</v>
      </c>
      <c r="J9" s="15">
        <f t="shared" ref="J9:J69" si="2">E9+F9+G9</f>
        <v>550000</v>
      </c>
      <c r="K9" s="112">
        <v>500000</v>
      </c>
      <c r="L9" s="6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75" hidden="1" customHeight="1" x14ac:dyDescent="0.25">
      <c r="A10" s="111"/>
      <c r="B10" s="110" t="s">
        <v>107</v>
      </c>
      <c r="C10" s="91"/>
      <c r="D10" s="29">
        <f>SUM(E10:H10)</f>
        <v>15</v>
      </c>
      <c r="E10" s="30">
        <v>4</v>
      </c>
      <c r="F10" s="30">
        <v>3</v>
      </c>
      <c r="G10" s="30">
        <v>4</v>
      </c>
      <c r="H10" s="30">
        <v>4</v>
      </c>
      <c r="I10" s="92">
        <f t="shared" si="1"/>
        <v>7</v>
      </c>
      <c r="J10" s="92">
        <f t="shared" si="2"/>
        <v>11</v>
      </c>
      <c r="K10" s="112">
        <f>SUM(L10:L10)</f>
        <v>0</v>
      </c>
      <c r="L10" s="6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5.75" hidden="1" customHeight="1" x14ac:dyDescent="0.25">
      <c r="A11" s="111"/>
      <c r="B11" s="110" t="s">
        <v>151</v>
      </c>
      <c r="C11" s="91"/>
      <c r="D11" s="29">
        <f>SUM(E11:H11)</f>
        <v>20</v>
      </c>
      <c r="E11" s="30">
        <v>5</v>
      </c>
      <c r="F11" s="30">
        <v>5</v>
      </c>
      <c r="G11" s="30">
        <v>6</v>
      </c>
      <c r="H11" s="30">
        <v>4</v>
      </c>
      <c r="I11" s="92">
        <f t="shared" si="1"/>
        <v>10</v>
      </c>
      <c r="J11" s="92">
        <f t="shared" si="2"/>
        <v>16</v>
      </c>
      <c r="K11" s="112">
        <f>SUM(L11:L11)</f>
        <v>0</v>
      </c>
      <c r="L11" s="6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5.75" x14ac:dyDescent="0.25">
      <c r="A12" s="111" t="s">
        <v>8</v>
      </c>
      <c r="B12" s="110" t="s">
        <v>9</v>
      </c>
      <c r="C12" s="27">
        <f>C13+C16+C17+C18</f>
        <v>62916553.340000004</v>
      </c>
      <c r="D12" s="27">
        <f>E12+F12+G12+H12</f>
        <v>60388912</v>
      </c>
      <c r="E12" s="28">
        <f>E13+E16+E18+E17</f>
        <v>6486331</v>
      </c>
      <c r="F12" s="28">
        <f>F13+F16+F18+F17</f>
        <v>21185764</v>
      </c>
      <c r="G12" s="28">
        <f>G13+G16+G18+G17</f>
        <v>15572903</v>
      </c>
      <c r="H12" s="28">
        <f>H13+H16+H18+H17</f>
        <v>17143914</v>
      </c>
      <c r="I12" s="15">
        <f t="shared" si="1"/>
        <v>27672095</v>
      </c>
      <c r="J12" s="15">
        <f t="shared" si="2"/>
        <v>43244998</v>
      </c>
      <c r="K12" s="112">
        <v>64918674</v>
      </c>
      <c r="L12" s="6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hidden="1" customHeight="1" x14ac:dyDescent="0.25">
      <c r="A13" s="111" t="s">
        <v>10</v>
      </c>
      <c r="B13" s="110" t="s">
        <v>179</v>
      </c>
      <c r="C13" s="93">
        <v>50973244</v>
      </c>
      <c r="D13" s="57">
        <f>SUM(E13:H13)</f>
        <v>48888912</v>
      </c>
      <c r="E13" s="57">
        <v>5936331</v>
      </c>
      <c r="F13" s="57">
        <v>20885764</v>
      </c>
      <c r="G13" s="57">
        <v>15222903</v>
      </c>
      <c r="H13" s="57">
        <v>6843914</v>
      </c>
      <c r="I13" s="15">
        <f t="shared" si="1"/>
        <v>26822095</v>
      </c>
      <c r="J13" s="15">
        <f t="shared" si="2"/>
        <v>42044998</v>
      </c>
      <c r="K13" s="112">
        <v>50330185</v>
      </c>
      <c r="L13" s="6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5.75" hidden="1" customHeight="1" x14ac:dyDescent="0.25">
      <c r="A14" s="111" t="s">
        <v>108</v>
      </c>
      <c r="B14" s="110" t="s">
        <v>168</v>
      </c>
      <c r="C14" s="94">
        <v>0</v>
      </c>
      <c r="D14" s="31"/>
      <c r="E14" s="56"/>
      <c r="F14" s="56"/>
      <c r="G14" s="56"/>
      <c r="H14" s="56"/>
      <c r="I14" s="15">
        <f t="shared" si="1"/>
        <v>0</v>
      </c>
      <c r="J14" s="15">
        <f t="shared" si="2"/>
        <v>0</v>
      </c>
      <c r="K14" s="112"/>
      <c r="L14" s="6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5.75" hidden="1" customHeight="1" x14ac:dyDescent="0.25">
      <c r="A15" s="111" t="s">
        <v>109</v>
      </c>
      <c r="B15" s="110" t="s">
        <v>169</v>
      </c>
      <c r="C15" s="94">
        <v>0</v>
      </c>
      <c r="D15" s="31"/>
      <c r="E15" s="56"/>
      <c r="F15" s="56"/>
      <c r="G15" s="56"/>
      <c r="H15" s="56"/>
      <c r="I15" s="15">
        <f t="shared" si="1"/>
        <v>0</v>
      </c>
      <c r="J15" s="15">
        <f t="shared" si="2"/>
        <v>0</v>
      </c>
      <c r="K15" s="112"/>
      <c r="L15" s="6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75" hidden="1" customHeight="1" x14ac:dyDescent="0.25">
      <c r="A16" s="111" t="s">
        <v>11</v>
      </c>
      <c r="B16" s="110" t="s">
        <v>170</v>
      </c>
      <c r="C16" s="93">
        <v>1761434.34</v>
      </c>
      <c r="D16" s="57">
        <f>SUM(E16:H16)</f>
        <v>1500000</v>
      </c>
      <c r="E16" s="55">
        <v>550000</v>
      </c>
      <c r="F16" s="55">
        <v>300000</v>
      </c>
      <c r="G16" s="55">
        <v>350000</v>
      </c>
      <c r="H16" s="55">
        <v>300000</v>
      </c>
      <c r="I16" s="95">
        <f t="shared" si="1"/>
        <v>850000</v>
      </c>
      <c r="J16" s="95">
        <f t="shared" si="2"/>
        <v>1200000</v>
      </c>
      <c r="K16" s="112">
        <v>1600000</v>
      </c>
      <c r="L16" s="6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hidden="1" customHeight="1" x14ac:dyDescent="0.25">
      <c r="A17" s="111"/>
      <c r="B17" s="110" t="s">
        <v>171</v>
      </c>
      <c r="C17" s="93"/>
      <c r="D17" s="57"/>
      <c r="E17" s="55"/>
      <c r="F17" s="55"/>
      <c r="G17" s="55"/>
      <c r="H17" s="55"/>
      <c r="I17" s="95"/>
      <c r="J17" s="95"/>
      <c r="K17" s="112"/>
      <c r="L17" s="6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 hidden="1" customHeight="1" x14ac:dyDescent="0.25">
      <c r="A18" s="111" t="s">
        <v>23</v>
      </c>
      <c r="B18" s="110" t="s">
        <v>177</v>
      </c>
      <c r="C18" s="93">
        <v>10181875</v>
      </c>
      <c r="D18" s="57">
        <f>SUM(E18:H18)</f>
        <v>10000000</v>
      </c>
      <c r="E18" s="55"/>
      <c r="F18" s="55"/>
      <c r="G18" s="55"/>
      <c r="H18" s="55">
        <v>10000000</v>
      </c>
      <c r="I18" s="15">
        <f>E18+F18</f>
        <v>0</v>
      </c>
      <c r="J18" s="15">
        <f>E18+F18+G18</f>
        <v>0</v>
      </c>
      <c r="K18" s="112">
        <v>10000000</v>
      </c>
      <c r="L18" s="6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6.5" thickBot="1" x14ac:dyDescent="0.3">
      <c r="A19" s="111" t="s">
        <v>12</v>
      </c>
      <c r="B19" s="110" t="s">
        <v>13</v>
      </c>
      <c r="C19" s="27">
        <f>C20+C23+C24+C25+C26</f>
        <v>3973267.8200000003</v>
      </c>
      <c r="D19" s="27">
        <f>D20+D23+D24+D25+D26</f>
        <v>4485940</v>
      </c>
      <c r="E19" s="28">
        <f>E20+E23+E24+E25++E26</f>
        <v>1477120</v>
      </c>
      <c r="F19" s="28">
        <f>F20+F23+F24+F25++F26</f>
        <v>965900</v>
      </c>
      <c r="G19" s="28">
        <f>G20+G23+G24+G25++G26</f>
        <v>1001680</v>
      </c>
      <c r="H19" s="28">
        <f>H20+H23+H24+H25++H26</f>
        <v>1041240</v>
      </c>
      <c r="I19" s="15">
        <f t="shared" si="1"/>
        <v>2443020</v>
      </c>
      <c r="J19" s="15">
        <f t="shared" si="2"/>
        <v>3444700</v>
      </c>
      <c r="K19" s="112">
        <v>1744800</v>
      </c>
      <c r="L19" s="6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.75" hidden="1" customHeight="1" x14ac:dyDescent="0.3">
      <c r="A20" s="111" t="s">
        <v>14</v>
      </c>
      <c r="B20" s="110" t="s">
        <v>16</v>
      </c>
      <c r="C20" s="93">
        <f>SUM(C21:C22)</f>
        <v>469277.12</v>
      </c>
      <c r="D20" s="17">
        <f>SUM(D21:D22)</f>
        <v>350940</v>
      </c>
      <c r="E20" s="17">
        <f t="shared" ref="E20:H20" si="3">SUM(E21:E22)</f>
        <v>62120</v>
      </c>
      <c r="F20" s="17">
        <f t="shared" si="3"/>
        <v>73900</v>
      </c>
      <c r="G20" s="17">
        <f t="shared" si="3"/>
        <v>90680</v>
      </c>
      <c r="H20" s="17">
        <f t="shared" si="3"/>
        <v>124240</v>
      </c>
      <c r="I20" s="15">
        <f t="shared" si="1"/>
        <v>136020</v>
      </c>
      <c r="J20" s="15">
        <f t="shared" si="2"/>
        <v>226700</v>
      </c>
      <c r="K20" s="113">
        <v>350940</v>
      </c>
      <c r="L20" s="6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5.75" hidden="1" customHeight="1" x14ac:dyDescent="0.3">
      <c r="A21" s="111" t="s">
        <v>78</v>
      </c>
      <c r="B21" s="110" t="s">
        <v>161</v>
      </c>
      <c r="C21" s="94">
        <v>90000</v>
      </c>
      <c r="D21" s="32">
        <f>SUM(E21:H21)</f>
        <v>80000</v>
      </c>
      <c r="E21" s="33">
        <v>15000</v>
      </c>
      <c r="F21" s="33">
        <v>15000</v>
      </c>
      <c r="G21" s="33">
        <v>20000</v>
      </c>
      <c r="H21" s="33">
        <v>30000</v>
      </c>
      <c r="I21" s="15">
        <f t="shared" si="1"/>
        <v>30000</v>
      </c>
      <c r="J21" s="15">
        <f t="shared" si="2"/>
        <v>50000</v>
      </c>
      <c r="K21" s="114">
        <v>80000</v>
      </c>
      <c r="L21" s="68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5.75" hidden="1" customHeight="1" x14ac:dyDescent="0.3">
      <c r="A22" s="111" t="s">
        <v>79</v>
      </c>
      <c r="B22" s="110" t="s">
        <v>162</v>
      </c>
      <c r="C22" s="94">
        <v>379277.12</v>
      </c>
      <c r="D22" s="32">
        <f>SUM(E22:H22)</f>
        <v>270940</v>
      </c>
      <c r="E22" s="33">
        <v>47120</v>
      </c>
      <c r="F22" s="33">
        <v>58900</v>
      </c>
      <c r="G22" s="33">
        <v>70680</v>
      </c>
      <c r="H22" s="33">
        <v>94240</v>
      </c>
      <c r="I22" s="15">
        <f t="shared" si="1"/>
        <v>106020</v>
      </c>
      <c r="J22" s="15">
        <f t="shared" si="2"/>
        <v>176700</v>
      </c>
      <c r="K22" s="114">
        <v>270940</v>
      </c>
      <c r="L22" s="68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5.75" hidden="1" customHeight="1" x14ac:dyDescent="0.25">
      <c r="A23" s="111" t="s">
        <v>15</v>
      </c>
      <c r="B23" s="110" t="s">
        <v>18</v>
      </c>
      <c r="C23" s="93">
        <v>2174771.66</v>
      </c>
      <c r="D23" s="17">
        <v>1500000</v>
      </c>
      <c r="E23" s="17">
        <v>375000</v>
      </c>
      <c r="F23" s="17">
        <v>375000</v>
      </c>
      <c r="G23" s="17">
        <v>375000</v>
      </c>
      <c r="H23" s="17">
        <v>375000</v>
      </c>
      <c r="I23" s="95">
        <f t="shared" si="1"/>
        <v>750000</v>
      </c>
      <c r="J23" s="95">
        <f t="shared" si="2"/>
        <v>1125000</v>
      </c>
      <c r="K23" s="113">
        <v>1500000</v>
      </c>
      <c r="L23" s="6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5.75" hidden="1" customHeight="1" x14ac:dyDescent="0.25">
      <c r="A24" s="111" t="s">
        <v>17</v>
      </c>
      <c r="B24" s="110" t="s">
        <v>98</v>
      </c>
      <c r="C24" s="93">
        <v>57661.78</v>
      </c>
      <c r="D24" s="17">
        <f>SUM(E24:H24)</f>
        <v>50000</v>
      </c>
      <c r="E24" s="17">
        <v>5000</v>
      </c>
      <c r="F24" s="17">
        <v>7000</v>
      </c>
      <c r="G24" s="17">
        <v>18000</v>
      </c>
      <c r="H24" s="17">
        <v>20000</v>
      </c>
      <c r="I24" s="15">
        <f t="shared" si="1"/>
        <v>12000</v>
      </c>
      <c r="J24" s="15">
        <f t="shared" si="2"/>
        <v>30000</v>
      </c>
      <c r="K24" s="113">
        <v>50000</v>
      </c>
      <c r="L24" s="6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hidden="1" customHeight="1" x14ac:dyDescent="0.25">
      <c r="A25" s="111" t="s">
        <v>30</v>
      </c>
      <c r="B25" s="110" t="s">
        <v>97</v>
      </c>
      <c r="C25" s="93">
        <v>148645.26</v>
      </c>
      <c r="D25" s="17">
        <f>SUM(E25:H25)</f>
        <v>50000</v>
      </c>
      <c r="E25" s="17"/>
      <c r="F25" s="17">
        <v>10000</v>
      </c>
      <c r="G25" s="17">
        <v>18000</v>
      </c>
      <c r="H25" s="17">
        <v>22000</v>
      </c>
      <c r="I25" s="15">
        <f t="shared" si="1"/>
        <v>10000</v>
      </c>
      <c r="J25" s="15">
        <f t="shared" si="2"/>
        <v>28000</v>
      </c>
      <c r="K25" s="113">
        <v>100000</v>
      </c>
      <c r="L25" s="6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6.5" hidden="1" customHeight="1" thickBot="1" x14ac:dyDescent="0.3">
      <c r="A26" s="111" t="s">
        <v>32</v>
      </c>
      <c r="B26" s="110" t="s">
        <v>13</v>
      </c>
      <c r="C26" s="93">
        <v>1122912</v>
      </c>
      <c r="D26" s="17">
        <f>SUM(E26:H26)</f>
        <v>2535000</v>
      </c>
      <c r="E26" s="17">
        <f>500000+535000</f>
        <v>1035000</v>
      </c>
      <c r="F26" s="17">
        <v>500000</v>
      </c>
      <c r="G26" s="17">
        <v>500000</v>
      </c>
      <c r="H26" s="17">
        <v>500000</v>
      </c>
      <c r="I26" s="15">
        <f t="shared" si="1"/>
        <v>1535000</v>
      </c>
      <c r="J26" s="15">
        <f t="shared" si="2"/>
        <v>2035000</v>
      </c>
      <c r="K26" s="113">
        <v>2535000</v>
      </c>
      <c r="L26" s="6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.75" hidden="1" customHeight="1" x14ac:dyDescent="0.25">
      <c r="A27" s="111"/>
      <c r="B27" s="110" t="s">
        <v>96</v>
      </c>
      <c r="C27" s="35"/>
      <c r="D27" s="36" t="e">
        <f t="shared" si="0"/>
        <v>#REF!</v>
      </c>
      <c r="E27" s="36" t="e">
        <f t="shared" si="0"/>
        <v>#REF!</v>
      </c>
      <c r="F27" s="36" t="e">
        <f t="shared" si="0"/>
        <v>#REF!</v>
      </c>
      <c r="G27" s="36" t="e">
        <f t="shared" si="0"/>
        <v>#REF!</v>
      </c>
      <c r="H27" s="36" t="e">
        <f>I27+J27+K27+L27</f>
        <v>#REF!</v>
      </c>
      <c r="I27" s="36" t="e">
        <f>J27+K27+L27+#REF!</f>
        <v>#REF!</v>
      </c>
      <c r="J27" s="36" t="e">
        <f>K27+L27+#REF!+#REF!</f>
        <v>#REF!</v>
      </c>
      <c r="K27" s="115" t="e">
        <f>L27+#REF!+#REF!+#REF!</f>
        <v>#REF!</v>
      </c>
      <c r="L27" s="6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6.5" thickBot="1" x14ac:dyDescent="0.3">
      <c r="A28" s="111" t="s">
        <v>19</v>
      </c>
      <c r="B28" s="110" t="s">
        <v>20</v>
      </c>
      <c r="C28" s="28" t="e">
        <f>C29+C32+#REF!+C50+C57+C117+C121</f>
        <v>#REF!</v>
      </c>
      <c r="D28" s="28" t="e">
        <f t="shared" si="0"/>
        <v>#REF!</v>
      </c>
      <c r="E28" s="28" t="e">
        <f>E29++E32+#REF!+E50+E57+E117+E121</f>
        <v>#REF!</v>
      </c>
      <c r="F28" s="28" t="e">
        <f>F29++F32+#REF!+F50+F57+F117+F121</f>
        <v>#REF!</v>
      </c>
      <c r="G28" s="28" t="e">
        <f>G29++G32+#REF!+G50+G57+G117+G121</f>
        <v>#REF!</v>
      </c>
      <c r="H28" s="28" t="e">
        <f>H29++H32+#REF!+H50+H57+H117+H121</f>
        <v>#REF!</v>
      </c>
      <c r="I28" s="15" t="e">
        <f t="shared" si="1"/>
        <v>#REF!</v>
      </c>
      <c r="J28" s="15" t="e">
        <f t="shared" si="2"/>
        <v>#REF!</v>
      </c>
      <c r="K28" s="112">
        <v>69835018</v>
      </c>
      <c r="L28" s="7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6.5" thickBot="1" x14ac:dyDescent="0.3">
      <c r="A29" s="111" t="s">
        <v>4</v>
      </c>
      <c r="B29" s="110" t="s">
        <v>134</v>
      </c>
      <c r="C29" s="28">
        <f>SUM(C30:C31)</f>
        <v>45437474.780000001</v>
      </c>
      <c r="D29" s="28">
        <f>E29+F29+G29+H29</f>
        <v>47500000</v>
      </c>
      <c r="E29" s="28">
        <f>SUM(E30:E31)</f>
        <v>13000000</v>
      </c>
      <c r="F29" s="28">
        <f t="shared" ref="F29:H29" si="4">SUM(F30:F31)</f>
        <v>13000000</v>
      </c>
      <c r="G29" s="28">
        <f t="shared" si="4"/>
        <v>11000000</v>
      </c>
      <c r="H29" s="28">
        <f t="shared" si="4"/>
        <v>10500000</v>
      </c>
      <c r="I29" s="15">
        <f t="shared" si="1"/>
        <v>26000000</v>
      </c>
      <c r="J29" s="15">
        <f t="shared" si="2"/>
        <v>37000000</v>
      </c>
      <c r="K29" s="112">
        <v>46400000</v>
      </c>
      <c r="L29" s="7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" hidden="1" customHeight="1" x14ac:dyDescent="0.3">
      <c r="A30" s="111" t="s">
        <v>6</v>
      </c>
      <c r="B30" s="110" t="s">
        <v>122</v>
      </c>
      <c r="C30" s="93">
        <v>36593036.100000001</v>
      </c>
      <c r="D30" s="34">
        <f>SUM(E30:H30)</f>
        <v>47500000</v>
      </c>
      <c r="E30" s="37">
        <v>13000000</v>
      </c>
      <c r="F30" s="37">
        <v>13000000</v>
      </c>
      <c r="G30" s="37">
        <v>11000000</v>
      </c>
      <c r="H30" s="37">
        <v>10500000</v>
      </c>
      <c r="I30" s="15">
        <f t="shared" si="1"/>
        <v>26000000</v>
      </c>
      <c r="J30" s="15">
        <f t="shared" si="2"/>
        <v>37000000</v>
      </c>
      <c r="K30" s="116">
        <v>47500000</v>
      </c>
      <c r="L30" s="7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 hidden="1" customHeight="1" x14ac:dyDescent="0.3">
      <c r="A31" s="111" t="s">
        <v>7</v>
      </c>
      <c r="B31" s="110" t="s">
        <v>63</v>
      </c>
      <c r="C31" s="93">
        <v>8844438.6799999997</v>
      </c>
      <c r="D31" s="34">
        <f t="shared" si="0"/>
        <v>0</v>
      </c>
      <c r="E31" s="52"/>
      <c r="F31" s="37"/>
      <c r="G31" s="37"/>
      <c r="H31" s="37"/>
      <c r="I31" s="15">
        <f t="shared" si="1"/>
        <v>0</v>
      </c>
      <c r="J31" s="15">
        <f t="shared" si="2"/>
        <v>0</v>
      </c>
      <c r="K31" s="116" t="e">
        <f>L31+#REF!+#REF!+#REF!</f>
        <v>#REF!</v>
      </c>
      <c r="L31" s="72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8.75" customHeight="1" thickBot="1" x14ac:dyDescent="0.3">
      <c r="A32" s="111" t="s">
        <v>8</v>
      </c>
      <c r="B32" s="110" t="s">
        <v>182</v>
      </c>
      <c r="C32" s="96">
        <f>SUM(C33:C37)</f>
        <v>0</v>
      </c>
      <c r="D32" s="28">
        <f t="shared" si="0"/>
        <v>720000</v>
      </c>
      <c r="E32" s="28">
        <f>E33+E34+E35+E36+E37</f>
        <v>180000</v>
      </c>
      <c r="F32" s="28">
        <f>F33+F34+F35+F36+F37</f>
        <v>180000</v>
      </c>
      <c r="G32" s="28">
        <f>G33+G34+G35+G36+G37</f>
        <v>180000</v>
      </c>
      <c r="H32" s="28">
        <f>H33+H34+H35+H36+H37</f>
        <v>180000</v>
      </c>
      <c r="I32" s="15">
        <f t="shared" si="1"/>
        <v>360000</v>
      </c>
      <c r="J32" s="15">
        <f t="shared" si="2"/>
        <v>540000</v>
      </c>
      <c r="K32" s="112">
        <v>2519587</v>
      </c>
      <c r="L32" s="7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hidden="1" customHeight="1" x14ac:dyDescent="0.3">
      <c r="A33" s="111" t="s">
        <v>10</v>
      </c>
      <c r="B33" s="110" t="s">
        <v>21</v>
      </c>
      <c r="C33" s="93">
        <v>0</v>
      </c>
      <c r="D33" s="37">
        <f t="shared" si="0"/>
        <v>0</v>
      </c>
      <c r="E33" s="52"/>
      <c r="F33" s="37"/>
      <c r="G33" s="37"/>
      <c r="H33" s="37"/>
      <c r="I33" s="15">
        <f t="shared" si="1"/>
        <v>0</v>
      </c>
      <c r="J33" s="15">
        <f t="shared" si="2"/>
        <v>0</v>
      </c>
      <c r="K33" s="117" t="e">
        <f>L33+#REF!+#REF!+#REF!</f>
        <v>#REF!</v>
      </c>
      <c r="L33" s="73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5.75" hidden="1" customHeight="1" x14ac:dyDescent="0.3">
      <c r="A34" s="111" t="s">
        <v>11</v>
      </c>
      <c r="B34" s="110" t="s">
        <v>22</v>
      </c>
      <c r="C34" s="93">
        <v>0</v>
      </c>
      <c r="D34" s="17">
        <f t="shared" si="0"/>
        <v>720000</v>
      </c>
      <c r="E34" s="17">
        <v>180000</v>
      </c>
      <c r="F34" s="17">
        <v>180000</v>
      </c>
      <c r="G34" s="17">
        <v>180000</v>
      </c>
      <c r="H34" s="17">
        <v>180000</v>
      </c>
      <c r="I34" s="15">
        <f t="shared" si="1"/>
        <v>360000</v>
      </c>
      <c r="J34" s="15">
        <f t="shared" si="2"/>
        <v>540000</v>
      </c>
      <c r="K34" s="113">
        <v>120000</v>
      </c>
      <c r="L34" s="6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5.75" hidden="1" customHeight="1" x14ac:dyDescent="0.3">
      <c r="A35" s="111" t="s">
        <v>23</v>
      </c>
      <c r="B35" s="110" t="s">
        <v>24</v>
      </c>
      <c r="C35" s="93">
        <v>0</v>
      </c>
      <c r="D35" s="37">
        <f t="shared" si="0"/>
        <v>0</v>
      </c>
      <c r="E35" s="52"/>
      <c r="F35" s="37"/>
      <c r="G35" s="37"/>
      <c r="H35" s="37"/>
      <c r="I35" s="15">
        <f t="shared" si="1"/>
        <v>0</v>
      </c>
      <c r="J35" s="15">
        <f t="shared" si="2"/>
        <v>0</v>
      </c>
      <c r="K35" s="117" t="e">
        <f>L35+#REF!+#REF!+#REF!</f>
        <v>#REF!</v>
      </c>
      <c r="L35" s="58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5.75" hidden="1" customHeight="1" x14ac:dyDescent="0.3">
      <c r="A36" s="111" t="s">
        <v>25</v>
      </c>
      <c r="B36" s="110" t="s">
        <v>26</v>
      </c>
      <c r="C36" s="93">
        <v>0</v>
      </c>
      <c r="D36" s="34">
        <f t="shared" si="0"/>
        <v>0</v>
      </c>
      <c r="E36" s="52"/>
      <c r="F36" s="37"/>
      <c r="G36" s="37"/>
      <c r="H36" s="37"/>
      <c r="I36" s="15">
        <f t="shared" si="1"/>
        <v>0</v>
      </c>
      <c r="J36" s="15">
        <f t="shared" si="2"/>
        <v>0</v>
      </c>
      <c r="K36" s="116" t="e">
        <f>L36+#REF!+#REF!+#REF!</f>
        <v>#REF!</v>
      </c>
      <c r="L36" s="72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16.5" hidden="1" customHeight="1" thickBot="1" x14ac:dyDescent="0.3">
      <c r="A37" s="111" t="s">
        <v>27</v>
      </c>
      <c r="B37" s="110" t="s">
        <v>28</v>
      </c>
      <c r="C37" s="93">
        <v>0</v>
      </c>
      <c r="D37" s="34">
        <f t="shared" si="0"/>
        <v>0</v>
      </c>
      <c r="E37" s="52"/>
      <c r="F37" s="37">
        <f>120000-120000</f>
        <v>0</v>
      </c>
      <c r="G37" s="37"/>
      <c r="H37" s="37"/>
      <c r="I37" s="15">
        <f t="shared" si="1"/>
        <v>0</v>
      </c>
      <c r="J37" s="15">
        <f t="shared" si="2"/>
        <v>0</v>
      </c>
      <c r="K37" s="116" t="e">
        <f>L37+#REF!+#REF!+#REF!</f>
        <v>#REF!</v>
      </c>
      <c r="L37" s="7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5.75" hidden="1" customHeight="1" x14ac:dyDescent="0.3">
      <c r="A38" s="111" t="s">
        <v>14</v>
      </c>
      <c r="B38" s="110" t="s">
        <v>139</v>
      </c>
      <c r="C38" s="39">
        <f>SUM(C39:C43)</f>
        <v>286984.15999999997</v>
      </c>
      <c r="D38" s="17">
        <f>SUM(D39:D43)</f>
        <v>129600</v>
      </c>
      <c r="E38" s="39">
        <f t="shared" ref="E38:H38" si="5">SUM(E39:E43)</f>
        <v>48600</v>
      </c>
      <c r="F38" s="39">
        <f t="shared" si="5"/>
        <v>51000</v>
      </c>
      <c r="G38" s="39">
        <f t="shared" si="5"/>
        <v>15000</v>
      </c>
      <c r="H38" s="39">
        <f t="shared" si="5"/>
        <v>15000</v>
      </c>
      <c r="I38" s="15">
        <f t="shared" si="1"/>
        <v>99600</v>
      </c>
      <c r="J38" s="15">
        <f t="shared" si="2"/>
        <v>114600</v>
      </c>
      <c r="K38" s="113" t="e">
        <f>SUM(K39:K43)</f>
        <v>#REF!</v>
      </c>
      <c r="L38" s="7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5.75" hidden="1" customHeight="1" x14ac:dyDescent="0.3">
      <c r="A39" s="111" t="s">
        <v>78</v>
      </c>
      <c r="B39" s="110" t="s">
        <v>101</v>
      </c>
      <c r="C39" s="38"/>
      <c r="D39" s="18">
        <f t="shared" ref="D39:D66" si="6">E39+F39+G39+H39</f>
        <v>0</v>
      </c>
      <c r="E39" s="51"/>
      <c r="F39" s="38"/>
      <c r="G39" s="38"/>
      <c r="H39" s="38"/>
      <c r="I39" s="15">
        <f t="shared" si="1"/>
        <v>0</v>
      </c>
      <c r="J39" s="15">
        <f t="shared" si="2"/>
        <v>0</v>
      </c>
      <c r="K39" s="118" t="e">
        <f>L39+#REF!+#REF!+#REF!</f>
        <v>#REF!</v>
      </c>
      <c r="L39" s="7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5.75" hidden="1" customHeight="1" x14ac:dyDescent="0.3">
      <c r="A40" s="111" t="s">
        <v>79</v>
      </c>
      <c r="B40" s="110" t="s">
        <v>102</v>
      </c>
      <c r="C40" s="38">
        <v>246210</v>
      </c>
      <c r="D40" s="18">
        <f t="shared" si="6"/>
        <v>0</v>
      </c>
      <c r="E40" s="37"/>
      <c r="F40" s="38"/>
      <c r="G40" s="38"/>
      <c r="H40" s="38"/>
      <c r="I40" s="15">
        <f t="shared" si="1"/>
        <v>0</v>
      </c>
      <c r="J40" s="15">
        <f t="shared" si="2"/>
        <v>0</v>
      </c>
      <c r="K40" s="118" t="e">
        <f>L40+#REF!+#REF!+#REF!</f>
        <v>#REF!</v>
      </c>
      <c r="L40" s="75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5.75" hidden="1" customHeight="1" x14ac:dyDescent="0.3">
      <c r="A41" s="111" t="s">
        <v>94</v>
      </c>
      <c r="B41" s="110" t="s">
        <v>75</v>
      </c>
      <c r="C41" s="38">
        <v>31355</v>
      </c>
      <c r="D41" s="18">
        <f t="shared" si="6"/>
        <v>129600</v>
      </c>
      <c r="E41" s="18">
        <f>33600+15000</f>
        <v>48600</v>
      </c>
      <c r="F41" s="18">
        <f>36000+15000</f>
        <v>51000</v>
      </c>
      <c r="G41" s="38">
        <v>15000</v>
      </c>
      <c r="H41" s="38">
        <v>15000</v>
      </c>
      <c r="I41" s="15">
        <f t="shared" si="1"/>
        <v>99600</v>
      </c>
      <c r="J41" s="15">
        <f t="shared" si="2"/>
        <v>114600</v>
      </c>
      <c r="K41" s="118">
        <v>99000</v>
      </c>
      <c r="L41" s="7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5.75" hidden="1" customHeight="1" x14ac:dyDescent="0.3">
      <c r="A42" s="111" t="s">
        <v>103</v>
      </c>
      <c r="B42" s="110" t="s">
        <v>76</v>
      </c>
      <c r="C42" s="38"/>
      <c r="D42" s="18">
        <f t="shared" si="6"/>
        <v>0</v>
      </c>
      <c r="E42" s="51"/>
      <c r="F42" s="38"/>
      <c r="G42" s="38"/>
      <c r="H42" s="38"/>
      <c r="I42" s="15">
        <f t="shared" si="1"/>
        <v>0</v>
      </c>
      <c r="J42" s="15">
        <f t="shared" si="2"/>
        <v>0</v>
      </c>
      <c r="K42" s="118" t="e">
        <f>L42+#REF!+#REF!+#REF!</f>
        <v>#REF!</v>
      </c>
      <c r="L42" s="7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5.75" hidden="1" customHeight="1" x14ac:dyDescent="0.3">
      <c r="A43" s="111" t="s">
        <v>104</v>
      </c>
      <c r="B43" s="110" t="s">
        <v>77</v>
      </c>
      <c r="C43" s="38">
        <v>9419.16</v>
      </c>
      <c r="D43" s="18">
        <f t="shared" si="6"/>
        <v>0</v>
      </c>
      <c r="E43" s="37"/>
      <c r="F43" s="38"/>
      <c r="G43" s="38"/>
      <c r="H43" s="38"/>
      <c r="I43" s="15">
        <f t="shared" si="1"/>
        <v>0</v>
      </c>
      <c r="J43" s="15">
        <f t="shared" si="2"/>
        <v>0</v>
      </c>
      <c r="K43" s="118" t="e">
        <f>L43+#REF!+#REF!+#REF!</f>
        <v>#REF!</v>
      </c>
      <c r="L43" s="7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15.75" hidden="1" customHeight="1" x14ac:dyDescent="0.3">
      <c r="A44" s="111" t="s">
        <v>15</v>
      </c>
      <c r="B44" s="110" t="s">
        <v>29</v>
      </c>
      <c r="C44" s="39">
        <v>1322179.74</v>
      </c>
      <c r="D44" s="17">
        <f t="shared" si="6"/>
        <v>1318080</v>
      </c>
      <c r="E44" s="17">
        <v>344629</v>
      </c>
      <c r="F44" s="17">
        <v>313882</v>
      </c>
      <c r="G44" s="17">
        <v>313882</v>
      </c>
      <c r="H44" s="17">
        <v>345687</v>
      </c>
      <c r="I44" s="95">
        <f t="shared" si="1"/>
        <v>658511</v>
      </c>
      <c r="J44" s="95">
        <f t="shared" si="2"/>
        <v>972393</v>
      </c>
      <c r="K44" s="113">
        <v>1318000</v>
      </c>
      <c r="L44" s="6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75" hidden="1" customHeight="1" x14ac:dyDescent="0.3">
      <c r="A45" s="111" t="s">
        <v>17</v>
      </c>
      <c r="B45" s="110" t="s">
        <v>147</v>
      </c>
      <c r="C45" s="39">
        <v>83504</v>
      </c>
      <c r="D45" s="17">
        <f t="shared" si="6"/>
        <v>157600</v>
      </c>
      <c r="E45" s="39">
        <v>85600</v>
      </c>
      <c r="F45" s="39">
        <v>5000</v>
      </c>
      <c r="G45" s="39">
        <v>5000</v>
      </c>
      <c r="H45" s="39">
        <v>62000</v>
      </c>
      <c r="I45" s="15">
        <f t="shared" si="1"/>
        <v>90600</v>
      </c>
      <c r="J45" s="15">
        <f t="shared" si="2"/>
        <v>95600</v>
      </c>
      <c r="K45" s="113">
        <v>157600</v>
      </c>
      <c r="L45" s="67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5.75" hidden="1" customHeight="1" x14ac:dyDescent="0.3">
      <c r="A46" s="111" t="s">
        <v>30</v>
      </c>
      <c r="B46" s="110" t="s">
        <v>68</v>
      </c>
      <c r="C46" s="39">
        <v>187954.92</v>
      </c>
      <c r="D46" s="17">
        <f t="shared" si="6"/>
        <v>285600</v>
      </c>
      <c r="E46" s="17">
        <v>76000</v>
      </c>
      <c r="F46" s="17">
        <v>65000</v>
      </c>
      <c r="G46" s="17">
        <v>76000</v>
      </c>
      <c r="H46" s="17">
        <v>68600</v>
      </c>
      <c r="I46" s="15">
        <f t="shared" si="1"/>
        <v>141000</v>
      </c>
      <c r="J46" s="15">
        <f t="shared" si="2"/>
        <v>217000</v>
      </c>
      <c r="K46" s="113">
        <v>219600</v>
      </c>
      <c r="L46" s="67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5.75" hidden="1" customHeight="1" x14ac:dyDescent="0.3">
      <c r="A47" s="111" t="s">
        <v>32</v>
      </c>
      <c r="B47" s="110" t="s">
        <v>95</v>
      </c>
      <c r="C47" s="39">
        <v>177817.62</v>
      </c>
      <c r="D47" s="17">
        <f t="shared" si="6"/>
        <v>196000</v>
      </c>
      <c r="E47" s="17">
        <v>89000</v>
      </c>
      <c r="F47" s="17">
        <v>69000</v>
      </c>
      <c r="G47" s="17">
        <v>29000</v>
      </c>
      <c r="H47" s="17">
        <v>9000</v>
      </c>
      <c r="I47" s="15">
        <f t="shared" si="1"/>
        <v>158000</v>
      </c>
      <c r="J47" s="15">
        <f t="shared" si="2"/>
        <v>187000</v>
      </c>
      <c r="K47" s="113">
        <v>116000</v>
      </c>
      <c r="L47" s="67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5.75" hidden="1" customHeight="1" x14ac:dyDescent="0.3">
      <c r="A48" s="111" t="s">
        <v>33</v>
      </c>
      <c r="B48" s="110" t="s">
        <v>31</v>
      </c>
      <c r="C48" s="39">
        <v>92531.74</v>
      </c>
      <c r="D48" s="17">
        <f t="shared" si="6"/>
        <v>196000</v>
      </c>
      <c r="E48" s="17">
        <v>49000</v>
      </c>
      <c r="F48" s="17">
        <v>49000</v>
      </c>
      <c r="G48" s="17">
        <v>49000</v>
      </c>
      <c r="H48" s="17">
        <v>49000</v>
      </c>
      <c r="I48" s="15">
        <f t="shared" si="1"/>
        <v>98000</v>
      </c>
      <c r="J48" s="15">
        <f t="shared" si="2"/>
        <v>147000</v>
      </c>
      <c r="K48" s="113">
        <v>166000</v>
      </c>
      <c r="L48" s="67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16.5" hidden="1" customHeight="1" thickBot="1" x14ac:dyDescent="0.3">
      <c r="A49" s="111" t="s">
        <v>69</v>
      </c>
      <c r="B49" s="110" t="s">
        <v>67</v>
      </c>
      <c r="C49" s="39">
        <v>59286</v>
      </c>
      <c r="D49" s="17">
        <f t="shared" si="6"/>
        <v>60000</v>
      </c>
      <c r="E49" s="17">
        <v>15000</v>
      </c>
      <c r="F49" s="17">
        <v>15000</v>
      </c>
      <c r="G49" s="17">
        <v>15000</v>
      </c>
      <c r="H49" s="17">
        <v>15000</v>
      </c>
      <c r="I49" s="15">
        <f t="shared" si="1"/>
        <v>30000</v>
      </c>
      <c r="J49" s="15">
        <f t="shared" si="2"/>
        <v>45000</v>
      </c>
      <c r="K49" s="113">
        <v>30000</v>
      </c>
      <c r="L49" s="67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6.5" thickBot="1" x14ac:dyDescent="0.3">
      <c r="A50" s="111">
        <v>3</v>
      </c>
      <c r="B50" s="110" t="s">
        <v>123</v>
      </c>
      <c r="C50" s="28">
        <f t="shared" ref="C50:H50" si="7">C51+C54+C55+C56</f>
        <v>10976803.23</v>
      </c>
      <c r="D50" s="28">
        <f>D51+D54+D55+D56</f>
        <v>11194213.119999999</v>
      </c>
      <c r="E50" s="28">
        <f t="shared" si="7"/>
        <v>2798553.28</v>
      </c>
      <c r="F50" s="28">
        <f t="shared" si="7"/>
        <v>2798553.28</v>
      </c>
      <c r="G50" s="28">
        <f t="shared" si="7"/>
        <v>2798553.28</v>
      </c>
      <c r="H50" s="28">
        <f t="shared" si="7"/>
        <v>2798553.28</v>
      </c>
      <c r="I50" s="15">
        <f t="shared" si="1"/>
        <v>5597106.5599999996</v>
      </c>
      <c r="J50" s="15">
        <f t="shared" si="2"/>
        <v>8395659.8399999999</v>
      </c>
      <c r="K50" s="112">
        <v>10853600</v>
      </c>
      <c r="L50" s="7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hidden="1" customHeight="1" x14ac:dyDescent="0.3">
      <c r="A51" s="111" t="s">
        <v>36</v>
      </c>
      <c r="B51" s="110" t="s">
        <v>105</v>
      </c>
      <c r="C51" s="39">
        <f>SUM(C52:C53)</f>
        <v>9204985.7999999989</v>
      </c>
      <c r="D51" s="17">
        <f t="shared" ref="D51:D57" si="8">E51+F51+G51+H51</f>
        <v>9194237.3999999985</v>
      </c>
      <c r="E51" s="17">
        <f>SUM(E52:E53)</f>
        <v>2298559.3499999996</v>
      </c>
      <c r="F51" s="17">
        <f t="shared" ref="F51:H51" si="9">SUM(F52:F53)</f>
        <v>2298559.3499999996</v>
      </c>
      <c r="G51" s="17">
        <f t="shared" si="9"/>
        <v>2298559.3499999996</v>
      </c>
      <c r="H51" s="17">
        <f t="shared" si="9"/>
        <v>2298559.3499999996</v>
      </c>
      <c r="I51" s="15">
        <f t="shared" si="1"/>
        <v>4597118.6999999993</v>
      </c>
      <c r="J51" s="15">
        <f t="shared" si="2"/>
        <v>6895678.0499999989</v>
      </c>
      <c r="K51" s="113">
        <v>9194237.3999999985</v>
      </c>
      <c r="L51" s="67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15.75" hidden="1" customHeight="1" x14ac:dyDescent="0.3">
      <c r="A52" s="111"/>
      <c r="B52" s="110" t="s">
        <v>83</v>
      </c>
      <c r="C52" s="18">
        <v>8943860.1199999992</v>
      </c>
      <c r="D52" s="18">
        <f t="shared" si="8"/>
        <v>8918237.3999999985</v>
      </c>
      <c r="E52" s="18">
        <f>743186.45*3</f>
        <v>2229559.3499999996</v>
      </c>
      <c r="F52" s="18">
        <f t="shared" ref="F52:H52" si="10">743186.45*3</f>
        <v>2229559.3499999996</v>
      </c>
      <c r="G52" s="18">
        <f t="shared" si="10"/>
        <v>2229559.3499999996</v>
      </c>
      <c r="H52" s="18">
        <f t="shared" si="10"/>
        <v>2229559.3499999996</v>
      </c>
      <c r="I52" s="15">
        <f t="shared" si="1"/>
        <v>4459118.6999999993</v>
      </c>
      <c r="J52" s="15">
        <f t="shared" si="2"/>
        <v>6688678.0499999989</v>
      </c>
      <c r="K52" s="118">
        <v>8918237.3999999985</v>
      </c>
      <c r="L52" s="75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15.75" hidden="1" customHeight="1" x14ac:dyDescent="0.3">
      <c r="A53" s="111"/>
      <c r="B53" s="110" t="s">
        <v>106</v>
      </c>
      <c r="C53" s="18">
        <v>261125.68</v>
      </c>
      <c r="D53" s="18">
        <f t="shared" si="8"/>
        <v>276000</v>
      </c>
      <c r="E53" s="18">
        <v>69000</v>
      </c>
      <c r="F53" s="18">
        <v>69000</v>
      </c>
      <c r="G53" s="18">
        <v>69000</v>
      </c>
      <c r="H53" s="18">
        <v>69000</v>
      </c>
      <c r="I53" s="15">
        <f t="shared" si="1"/>
        <v>138000</v>
      </c>
      <c r="J53" s="15">
        <f t="shared" si="2"/>
        <v>207000</v>
      </c>
      <c r="K53" s="118">
        <v>276000</v>
      </c>
      <c r="L53" s="75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15.75" hidden="1" customHeight="1" x14ac:dyDescent="0.3">
      <c r="A54" s="111" t="s">
        <v>37</v>
      </c>
      <c r="B54" s="110" t="s">
        <v>136</v>
      </c>
      <c r="C54" s="97">
        <v>423975.72</v>
      </c>
      <c r="D54" s="17">
        <f t="shared" si="8"/>
        <v>439975.72</v>
      </c>
      <c r="E54" s="17">
        <f>105993.93+4000</f>
        <v>109993.93</v>
      </c>
      <c r="F54" s="17">
        <f t="shared" ref="F54:H54" si="11">105993.93+4000</f>
        <v>109993.93</v>
      </c>
      <c r="G54" s="17">
        <f t="shared" si="11"/>
        <v>109993.93</v>
      </c>
      <c r="H54" s="17">
        <f t="shared" si="11"/>
        <v>109993.93</v>
      </c>
      <c r="I54" s="15">
        <f t="shared" si="1"/>
        <v>219987.86</v>
      </c>
      <c r="J54" s="15">
        <f t="shared" si="2"/>
        <v>329981.78999999998</v>
      </c>
      <c r="K54" s="113">
        <v>439975.72</v>
      </c>
      <c r="L54" s="67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5.75" hidden="1" customHeight="1" x14ac:dyDescent="0.3">
      <c r="A55" s="111" t="s">
        <v>42</v>
      </c>
      <c r="B55" s="110" t="s">
        <v>54</v>
      </c>
      <c r="C55" s="97">
        <v>1320000</v>
      </c>
      <c r="D55" s="17">
        <f t="shared" si="8"/>
        <v>1200000</v>
      </c>
      <c r="E55" s="17">
        <v>300000</v>
      </c>
      <c r="F55" s="17">
        <v>300000</v>
      </c>
      <c r="G55" s="17">
        <v>300000</v>
      </c>
      <c r="H55" s="17">
        <v>300000</v>
      </c>
      <c r="I55" s="15">
        <f t="shared" si="1"/>
        <v>600000</v>
      </c>
      <c r="J55" s="15">
        <f t="shared" si="2"/>
        <v>900000</v>
      </c>
      <c r="K55" s="113">
        <v>1200000</v>
      </c>
      <c r="L55" s="67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16.5" hidden="1" customHeight="1" thickBot="1" x14ac:dyDescent="0.3">
      <c r="A56" s="111" t="s">
        <v>44</v>
      </c>
      <c r="B56" s="110" t="s">
        <v>47</v>
      </c>
      <c r="C56" s="97">
        <v>27841.71</v>
      </c>
      <c r="D56" s="17">
        <f t="shared" si="8"/>
        <v>360000</v>
      </c>
      <c r="E56" s="17">
        <v>90000</v>
      </c>
      <c r="F56" s="17">
        <v>90000</v>
      </c>
      <c r="G56" s="17">
        <v>90000</v>
      </c>
      <c r="H56" s="17">
        <v>90000</v>
      </c>
      <c r="I56" s="15">
        <f t="shared" si="1"/>
        <v>180000</v>
      </c>
      <c r="J56" s="15">
        <f t="shared" si="2"/>
        <v>270000</v>
      </c>
      <c r="K56" s="113">
        <v>160000</v>
      </c>
      <c r="L56" s="67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6.5" thickBot="1" x14ac:dyDescent="0.3">
      <c r="A57" s="111">
        <v>4</v>
      </c>
      <c r="B57" s="110" t="s">
        <v>124</v>
      </c>
      <c r="C57" s="28">
        <f>C58+C67+C74+C78+C84+C96+C101+C107+C108+C110+C111+C112</f>
        <v>9711293.7599999979</v>
      </c>
      <c r="D57" s="28">
        <f t="shared" si="8"/>
        <v>12830226.020000001</v>
      </c>
      <c r="E57" s="28">
        <f>E58+E78+E67+E74+E84+E96+E101+E107+E108+E109+E110+E111+E112</f>
        <v>5140805.4400000004</v>
      </c>
      <c r="F57" s="28">
        <f>F58+F78+F67+F74+F84+F96+F101+F107+F108+F109+F110+F111+F112</f>
        <v>2694901.0900000003</v>
      </c>
      <c r="G57" s="28">
        <f>G58+G78+G67+G74+G84+G96+G101+G107+G108+G109+G110+G111+G112</f>
        <v>2615112.0100000002</v>
      </c>
      <c r="H57" s="28">
        <f>H58+H78+H67+H74+H84+H96+H101+H107+H108+H109+H110+H111+H112</f>
        <v>2379407.4800000004</v>
      </c>
      <c r="I57" s="15">
        <f t="shared" si="1"/>
        <v>7835706.5300000012</v>
      </c>
      <c r="J57" s="15">
        <f t="shared" si="2"/>
        <v>10450818.540000001</v>
      </c>
      <c r="K57" s="112">
        <v>9849487</v>
      </c>
      <c r="L57" s="70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15.75" hidden="1" customHeight="1" x14ac:dyDescent="0.3">
      <c r="A58" s="111" t="s">
        <v>57</v>
      </c>
      <c r="B58" s="110" t="s">
        <v>118</v>
      </c>
      <c r="C58" s="39">
        <f>SUM(C59:C62)</f>
        <v>1148530.1200000001</v>
      </c>
      <c r="D58" s="17">
        <f>SUM(D59:D62)</f>
        <v>1602400</v>
      </c>
      <c r="E58" s="17">
        <f>SUM(E59:E62)</f>
        <v>400600</v>
      </c>
      <c r="F58" s="17">
        <f>SUM(F59:F62)</f>
        <v>400600</v>
      </c>
      <c r="G58" s="17">
        <f t="shared" ref="G58:H58" si="12">SUM(G59:G62)</f>
        <v>400600</v>
      </c>
      <c r="H58" s="17">
        <f t="shared" si="12"/>
        <v>400600</v>
      </c>
      <c r="I58" s="17">
        <f t="shared" ref="I58:J58" si="13">SUM(I59:I65)</f>
        <v>244400</v>
      </c>
      <c r="J58" s="17">
        <f t="shared" si="13"/>
        <v>342600</v>
      </c>
      <c r="K58" s="113">
        <f>SUM(K59:K62)</f>
        <v>1200000</v>
      </c>
      <c r="L58" s="67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5.75" hidden="1" customHeight="1" x14ac:dyDescent="0.3">
      <c r="A59" s="111"/>
      <c r="B59" s="110" t="s">
        <v>85</v>
      </c>
      <c r="C59" s="30">
        <v>743819</v>
      </c>
      <c r="D59" s="29">
        <f>SUM(E59:H59)</f>
        <v>1532000</v>
      </c>
      <c r="E59" s="30">
        <f>20000+28000+15000+320000</f>
        <v>383000</v>
      </c>
      <c r="F59" s="30">
        <f t="shared" ref="F59:H59" si="14">20000+28000+15000+320000</f>
        <v>383000</v>
      </c>
      <c r="G59" s="30">
        <f t="shared" si="14"/>
        <v>383000</v>
      </c>
      <c r="H59" s="30">
        <f t="shared" si="14"/>
        <v>383000</v>
      </c>
      <c r="I59" s="30">
        <f t="shared" ref="I59:J59" si="15">20000+28000+15000</f>
        <v>63000</v>
      </c>
      <c r="J59" s="30">
        <f t="shared" si="15"/>
        <v>63000</v>
      </c>
      <c r="K59" s="119">
        <v>1200000</v>
      </c>
      <c r="L59" s="64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5.75" hidden="1" customHeight="1" x14ac:dyDescent="0.3">
      <c r="A60" s="111"/>
      <c r="B60" s="110" t="s">
        <v>86</v>
      </c>
      <c r="C60" s="30">
        <v>397861.12</v>
      </c>
      <c r="D60" s="29">
        <f>SUM(E60:H60)</f>
        <v>56000</v>
      </c>
      <c r="E60" s="30">
        <v>14000</v>
      </c>
      <c r="F60" s="30">
        <v>14000</v>
      </c>
      <c r="G60" s="30">
        <v>14000</v>
      </c>
      <c r="H60" s="30">
        <v>14000</v>
      </c>
      <c r="I60" s="15">
        <f t="shared" si="1"/>
        <v>28000</v>
      </c>
      <c r="J60" s="15">
        <f t="shared" si="2"/>
        <v>42000</v>
      </c>
      <c r="K60" s="119"/>
      <c r="L60" s="64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5.75" hidden="1" customHeight="1" x14ac:dyDescent="0.3">
      <c r="A61" s="111"/>
      <c r="B61" s="110" t="s">
        <v>87</v>
      </c>
      <c r="C61" s="30">
        <v>6200</v>
      </c>
      <c r="D61" s="29">
        <f>SUM(E61:H61)</f>
        <v>14400</v>
      </c>
      <c r="E61" s="30">
        <v>3600</v>
      </c>
      <c r="F61" s="30">
        <v>3600</v>
      </c>
      <c r="G61" s="30">
        <v>3600</v>
      </c>
      <c r="H61" s="30">
        <v>3600</v>
      </c>
      <c r="I61" s="15">
        <f t="shared" si="1"/>
        <v>7200</v>
      </c>
      <c r="J61" s="15">
        <f t="shared" si="2"/>
        <v>10800</v>
      </c>
      <c r="K61" s="119">
        <f>SUM(L61:L61)</f>
        <v>0</v>
      </c>
      <c r="L61" s="64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5.75" hidden="1" customHeight="1" x14ac:dyDescent="0.3">
      <c r="A62" s="111"/>
      <c r="B62" s="110" t="s">
        <v>93</v>
      </c>
      <c r="C62" s="30">
        <v>650</v>
      </c>
      <c r="D62" s="29"/>
      <c r="E62" s="50"/>
      <c r="F62" s="30"/>
      <c r="G62" s="30"/>
      <c r="H62" s="30"/>
      <c r="I62" s="15">
        <f t="shared" si="1"/>
        <v>0</v>
      </c>
      <c r="J62" s="15">
        <f t="shared" si="2"/>
        <v>0</v>
      </c>
      <c r="K62" s="119"/>
      <c r="L62" s="64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5.75" hidden="1" customHeight="1" x14ac:dyDescent="0.3">
      <c r="A63" s="111"/>
      <c r="B63" s="110" t="s">
        <v>150</v>
      </c>
      <c r="C63" s="30"/>
      <c r="D63" s="29">
        <f t="shared" si="6"/>
        <v>182400</v>
      </c>
      <c r="E63" s="30">
        <v>45600</v>
      </c>
      <c r="F63" s="30">
        <v>45600</v>
      </c>
      <c r="G63" s="30">
        <v>45600</v>
      </c>
      <c r="H63" s="30">
        <v>45600</v>
      </c>
      <c r="I63" s="15">
        <f t="shared" si="1"/>
        <v>91200</v>
      </c>
      <c r="J63" s="15">
        <f t="shared" si="2"/>
        <v>136800</v>
      </c>
      <c r="K63" s="119" t="e">
        <f>L63+#REF!+#REF!+#REF!</f>
        <v>#REF!</v>
      </c>
      <c r="L63" s="64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5.75" hidden="1" customHeight="1" x14ac:dyDescent="0.3">
      <c r="A64" s="111"/>
      <c r="B64" s="110" t="s">
        <v>159</v>
      </c>
      <c r="C64" s="30"/>
      <c r="D64" s="29">
        <f t="shared" si="6"/>
        <v>80000</v>
      </c>
      <c r="E64" s="30">
        <v>20000</v>
      </c>
      <c r="F64" s="30">
        <v>20000</v>
      </c>
      <c r="G64" s="30">
        <v>20000</v>
      </c>
      <c r="H64" s="30">
        <v>20000</v>
      </c>
      <c r="I64" s="15">
        <f t="shared" si="1"/>
        <v>40000</v>
      </c>
      <c r="J64" s="15">
        <f t="shared" si="2"/>
        <v>60000</v>
      </c>
      <c r="K64" s="119" t="e">
        <f>L64+#REF!+#REF!+#REF!</f>
        <v>#REF!</v>
      </c>
      <c r="L64" s="64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5.75" hidden="1" customHeight="1" x14ac:dyDescent="0.3">
      <c r="A65" s="111"/>
      <c r="B65" s="110" t="s">
        <v>178</v>
      </c>
      <c r="C65" s="30"/>
      <c r="D65" s="29">
        <f t="shared" si="6"/>
        <v>60000</v>
      </c>
      <c r="E65" s="30">
        <v>15000</v>
      </c>
      <c r="F65" s="30">
        <v>15000</v>
      </c>
      <c r="G65" s="30">
        <v>15000</v>
      </c>
      <c r="H65" s="30">
        <v>15000</v>
      </c>
      <c r="I65" s="95">
        <f>E62+F65</f>
        <v>15000</v>
      </c>
      <c r="J65" s="95">
        <f>E62+F65+G65</f>
        <v>30000</v>
      </c>
      <c r="K65" s="119" t="e">
        <f>L65+#REF!+#REF!+#REF!</f>
        <v>#REF!</v>
      </c>
      <c r="L65" s="64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hidden="1" customHeight="1" x14ac:dyDescent="0.3">
      <c r="A66" s="111"/>
      <c r="B66" s="110" t="s">
        <v>152</v>
      </c>
      <c r="C66" s="30"/>
      <c r="D66" s="29">
        <f t="shared" si="6"/>
        <v>1280000</v>
      </c>
      <c r="E66" s="30">
        <v>320000</v>
      </c>
      <c r="F66" s="30">
        <v>320000</v>
      </c>
      <c r="G66" s="30">
        <v>320000</v>
      </c>
      <c r="H66" s="30">
        <v>320000</v>
      </c>
      <c r="I66" s="95"/>
      <c r="J66" s="95"/>
      <c r="K66" s="119" t="e">
        <f>L66+#REF!+#REF!+#REF!</f>
        <v>#REF!</v>
      </c>
      <c r="L66" s="6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75" hidden="1" customHeight="1" x14ac:dyDescent="0.3">
      <c r="A67" s="111" t="s">
        <v>58</v>
      </c>
      <c r="B67" s="110" t="s">
        <v>119</v>
      </c>
      <c r="C67" s="39">
        <f>SUM(C68:C70)</f>
        <v>98416.5</v>
      </c>
      <c r="D67" s="17">
        <f>SUM(D68:D73)</f>
        <v>277350</v>
      </c>
      <c r="E67" s="17">
        <f t="shared" ref="E67:H67" si="16">SUM(E68:E73)</f>
        <v>151850</v>
      </c>
      <c r="F67" s="17">
        <f t="shared" si="16"/>
        <v>20000</v>
      </c>
      <c r="G67" s="17">
        <f t="shared" si="16"/>
        <v>45500</v>
      </c>
      <c r="H67" s="17">
        <f t="shared" si="16"/>
        <v>60000</v>
      </c>
      <c r="I67" s="15">
        <f t="shared" si="1"/>
        <v>171850</v>
      </c>
      <c r="J67" s="15">
        <f t="shared" si="2"/>
        <v>217350</v>
      </c>
      <c r="K67" s="113" t="e">
        <f>SUM(K68:K73)</f>
        <v>#REF!</v>
      </c>
      <c r="L67" s="67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15.75" hidden="1" customHeight="1" x14ac:dyDescent="0.3">
      <c r="A68" s="111"/>
      <c r="B68" s="110" t="s">
        <v>111</v>
      </c>
      <c r="C68" s="30">
        <v>98416.5</v>
      </c>
      <c r="D68" s="18">
        <f t="shared" ref="D68:D77" si="17">E68+F68+G68+H68</f>
        <v>177350</v>
      </c>
      <c r="E68" s="18">
        <v>51850</v>
      </c>
      <c r="F68" s="18">
        <v>20000</v>
      </c>
      <c r="G68" s="18">
        <v>45500</v>
      </c>
      <c r="H68" s="18">
        <v>60000</v>
      </c>
      <c r="I68" s="15">
        <f t="shared" si="1"/>
        <v>71850</v>
      </c>
      <c r="J68" s="15">
        <f t="shared" si="2"/>
        <v>117350</v>
      </c>
      <c r="K68" s="118">
        <v>107350</v>
      </c>
      <c r="L68" s="75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15.75" hidden="1" customHeight="1" x14ac:dyDescent="0.3">
      <c r="A69" s="111"/>
      <c r="B69" s="110" t="s">
        <v>110</v>
      </c>
      <c r="C69" s="30"/>
      <c r="D69" s="18">
        <f t="shared" si="17"/>
        <v>100000</v>
      </c>
      <c r="E69" s="18">
        <v>100000</v>
      </c>
      <c r="F69" s="18"/>
      <c r="G69" s="18"/>
      <c r="H69" s="18"/>
      <c r="I69" s="95">
        <f t="shared" si="1"/>
        <v>100000</v>
      </c>
      <c r="J69" s="95">
        <f t="shared" si="2"/>
        <v>100000</v>
      </c>
      <c r="K69" s="118">
        <v>100000</v>
      </c>
      <c r="L69" s="7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75" hidden="1" customHeight="1" x14ac:dyDescent="0.3">
      <c r="A70" s="111"/>
      <c r="B70" s="110" t="s">
        <v>165</v>
      </c>
      <c r="C70" s="98"/>
      <c r="D70" s="18">
        <f>E70+F70+G70+H70</f>
        <v>0</v>
      </c>
      <c r="E70" s="51"/>
      <c r="F70" s="18"/>
      <c r="G70" s="18"/>
      <c r="H70" s="18"/>
      <c r="I70" s="15">
        <f>E70+F70</f>
        <v>0</v>
      </c>
      <c r="J70" s="15">
        <f>E70+F70+G70</f>
        <v>0</v>
      </c>
      <c r="K70" s="118" t="e">
        <f>L70+#REF!+#REF!+#REF!</f>
        <v>#REF!</v>
      </c>
      <c r="L70" s="7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15.75" hidden="1" customHeight="1" x14ac:dyDescent="0.3">
      <c r="A71" s="111"/>
      <c r="B71" s="110"/>
      <c r="C71" s="98"/>
      <c r="D71" s="29">
        <f>E71+F71+G71+H71</f>
        <v>0</v>
      </c>
      <c r="E71" s="50"/>
      <c r="F71" s="30"/>
      <c r="G71" s="30"/>
      <c r="H71" s="30"/>
      <c r="I71" s="15">
        <f t="shared" ref="I71:I122" si="18">E71+F71</f>
        <v>0</v>
      </c>
      <c r="J71" s="15">
        <f t="shared" ref="J71:J122" si="19">E71+F71+G71</f>
        <v>0</v>
      </c>
      <c r="K71" s="119" t="e">
        <f>L71+#REF!+#REF!+#REF!</f>
        <v>#REF!</v>
      </c>
      <c r="L71" s="64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5.75" hidden="1" customHeight="1" x14ac:dyDescent="0.3">
      <c r="A72" s="111"/>
      <c r="B72" s="110"/>
      <c r="C72" s="98"/>
      <c r="D72" s="29">
        <f>E72+F72+G72+H72</f>
        <v>0</v>
      </c>
      <c r="E72" s="50"/>
      <c r="F72" s="30"/>
      <c r="G72" s="30"/>
      <c r="H72" s="30"/>
      <c r="I72" s="15">
        <f t="shared" si="18"/>
        <v>0</v>
      </c>
      <c r="J72" s="15">
        <f t="shared" si="19"/>
        <v>0</v>
      </c>
      <c r="K72" s="119" t="e">
        <f>L72+#REF!+#REF!+#REF!</f>
        <v>#REF!</v>
      </c>
      <c r="L72" s="64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5.75" hidden="1" customHeight="1" x14ac:dyDescent="0.3">
      <c r="A73" s="111"/>
      <c r="B73" s="110"/>
      <c r="C73" s="98"/>
      <c r="D73" s="29">
        <f t="shared" si="17"/>
        <v>0</v>
      </c>
      <c r="E73" s="50"/>
      <c r="F73" s="30"/>
      <c r="G73" s="30"/>
      <c r="H73" s="30"/>
      <c r="I73" s="15">
        <f t="shared" si="18"/>
        <v>0</v>
      </c>
      <c r="J73" s="15">
        <f t="shared" si="19"/>
        <v>0</v>
      </c>
      <c r="K73" s="119" t="e">
        <f>L73+#REF!+#REF!+#REF!</f>
        <v>#REF!</v>
      </c>
      <c r="L73" s="64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5.75" hidden="1" customHeight="1" x14ac:dyDescent="0.3">
      <c r="A74" s="111" t="s">
        <v>59</v>
      </c>
      <c r="B74" s="110" t="s">
        <v>112</v>
      </c>
      <c r="C74" s="39">
        <f>SUM(C75:C77)</f>
        <v>304346.12</v>
      </c>
      <c r="D74" s="17">
        <f>SUM(D75:D77)</f>
        <v>400000</v>
      </c>
      <c r="E74" s="17">
        <f t="shared" ref="E74:H74" si="20">SUM(E75:E77)</f>
        <v>185000</v>
      </c>
      <c r="F74" s="17">
        <f t="shared" si="20"/>
        <v>15000</v>
      </c>
      <c r="G74" s="17">
        <f t="shared" si="20"/>
        <v>185000</v>
      </c>
      <c r="H74" s="17">
        <f t="shared" si="20"/>
        <v>15000</v>
      </c>
      <c r="I74" s="15">
        <f t="shared" si="18"/>
        <v>200000</v>
      </c>
      <c r="J74" s="15">
        <f t="shared" si="19"/>
        <v>385000</v>
      </c>
      <c r="K74" s="113" t="e">
        <f>SUM(K75:K77)</f>
        <v>#REF!</v>
      </c>
      <c r="L74" s="6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15.75" hidden="1" customHeight="1" x14ac:dyDescent="0.3">
      <c r="A75" s="111"/>
      <c r="B75" s="110" t="s">
        <v>70</v>
      </c>
      <c r="C75" s="38">
        <v>304346.12</v>
      </c>
      <c r="D75" s="18">
        <f t="shared" si="17"/>
        <v>400000</v>
      </c>
      <c r="E75" s="18">
        <v>185000</v>
      </c>
      <c r="F75" s="18">
        <v>15000</v>
      </c>
      <c r="G75" s="18">
        <v>185000</v>
      </c>
      <c r="H75" s="18">
        <v>15000</v>
      </c>
      <c r="I75" s="15">
        <f t="shared" si="18"/>
        <v>200000</v>
      </c>
      <c r="J75" s="15">
        <f t="shared" si="19"/>
        <v>385000</v>
      </c>
      <c r="K75" s="118">
        <v>240000</v>
      </c>
      <c r="L75" s="75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5.75" hidden="1" customHeight="1" x14ac:dyDescent="0.3">
      <c r="A76" s="111"/>
      <c r="B76" s="110" t="s">
        <v>113</v>
      </c>
      <c r="C76" s="38"/>
      <c r="D76" s="18">
        <f t="shared" si="17"/>
        <v>0</v>
      </c>
      <c r="E76" s="33"/>
      <c r="F76" s="38"/>
      <c r="G76" s="38"/>
      <c r="H76" s="38"/>
      <c r="I76" s="95">
        <f t="shared" si="18"/>
        <v>0</v>
      </c>
      <c r="J76" s="95">
        <f t="shared" si="19"/>
        <v>0</v>
      </c>
      <c r="K76" s="118" t="e">
        <f>L76+#REF!+#REF!+#REF!</f>
        <v>#REF!</v>
      </c>
      <c r="L76" s="7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hidden="1" customHeight="1" x14ac:dyDescent="0.3">
      <c r="A77" s="111"/>
      <c r="B77" s="110" t="s">
        <v>84</v>
      </c>
      <c r="C77" s="98"/>
      <c r="D77" s="18">
        <f t="shared" si="17"/>
        <v>0</v>
      </c>
      <c r="E77" s="51"/>
      <c r="F77" s="38"/>
      <c r="G77" s="38"/>
      <c r="H77" s="38"/>
      <c r="I77" s="95">
        <f t="shared" si="18"/>
        <v>0</v>
      </c>
      <c r="J77" s="95">
        <f t="shared" si="19"/>
        <v>0</v>
      </c>
      <c r="K77" s="118" t="e">
        <f>L77+#REF!+#REF!+#REF!</f>
        <v>#REF!</v>
      </c>
      <c r="L77" s="7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 hidden="1" customHeight="1" x14ac:dyDescent="0.3">
      <c r="A78" s="111" t="s">
        <v>60</v>
      </c>
      <c r="B78" s="110" t="s">
        <v>121</v>
      </c>
      <c r="C78" s="39">
        <f>SUM(C79:C82)</f>
        <v>1251372.3999999999</v>
      </c>
      <c r="D78" s="17">
        <f>SUM(D79:D83)</f>
        <v>1438750</v>
      </c>
      <c r="E78" s="39">
        <f>SUM(E79:E83)</f>
        <v>835000</v>
      </c>
      <c r="F78" s="39">
        <f t="shared" ref="F78:H78" si="21">SUM(F79:F83)</f>
        <v>203750</v>
      </c>
      <c r="G78" s="39">
        <f t="shared" si="21"/>
        <v>201250</v>
      </c>
      <c r="H78" s="39">
        <f t="shared" si="21"/>
        <v>198750</v>
      </c>
      <c r="I78" s="15">
        <f t="shared" si="18"/>
        <v>1038750</v>
      </c>
      <c r="J78" s="15">
        <f t="shared" si="19"/>
        <v>1240000</v>
      </c>
      <c r="K78" s="113">
        <f>SUM(K79:K83)</f>
        <v>1438750</v>
      </c>
      <c r="L78" s="67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5.75" hidden="1" customHeight="1" x14ac:dyDescent="0.3">
      <c r="A79" s="111"/>
      <c r="B79" s="110" t="s">
        <v>140</v>
      </c>
      <c r="C79" s="38">
        <v>851250</v>
      </c>
      <c r="D79" s="18">
        <f t="shared" ref="D79:D93" si="22">E79+F79+G79+H79</f>
        <v>808750</v>
      </c>
      <c r="E79" s="45">
        <v>205000</v>
      </c>
      <c r="F79" s="45">
        <v>203750</v>
      </c>
      <c r="G79" s="45">
        <v>201250</v>
      </c>
      <c r="H79" s="45">
        <v>198750</v>
      </c>
      <c r="I79" s="95">
        <f t="shared" si="18"/>
        <v>408750</v>
      </c>
      <c r="J79" s="95">
        <f t="shared" si="19"/>
        <v>610000</v>
      </c>
      <c r="K79" s="118">
        <v>808750</v>
      </c>
      <c r="L79" s="7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hidden="1" customHeight="1" x14ac:dyDescent="0.3">
      <c r="A80" s="111"/>
      <c r="B80" s="110" t="s">
        <v>175</v>
      </c>
      <c r="C80" s="38">
        <v>300122.40000000002</v>
      </c>
      <c r="D80" s="18">
        <f t="shared" si="22"/>
        <v>300000</v>
      </c>
      <c r="E80" s="45">
        <v>300000</v>
      </c>
      <c r="F80" s="38"/>
      <c r="G80" s="38"/>
      <c r="H80" s="38"/>
      <c r="I80" s="15">
        <f t="shared" si="18"/>
        <v>300000</v>
      </c>
      <c r="J80" s="15">
        <f t="shared" si="19"/>
        <v>300000</v>
      </c>
      <c r="K80" s="118">
        <v>300000</v>
      </c>
      <c r="L80" s="75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5.75" hidden="1" customHeight="1" x14ac:dyDescent="0.3">
      <c r="A81" s="111"/>
      <c r="B81" s="110" t="s">
        <v>141</v>
      </c>
      <c r="C81" s="38"/>
      <c r="D81" s="18">
        <f t="shared" si="22"/>
        <v>50000</v>
      </c>
      <c r="E81" s="45">
        <v>50000</v>
      </c>
      <c r="F81" s="38"/>
      <c r="G81" s="38"/>
      <c r="H81" s="38"/>
      <c r="I81" s="15">
        <f t="shared" si="18"/>
        <v>50000</v>
      </c>
      <c r="J81" s="15">
        <f t="shared" si="19"/>
        <v>50000</v>
      </c>
      <c r="K81" s="118">
        <v>50000</v>
      </c>
      <c r="L81" s="75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5.75" hidden="1" customHeight="1" x14ac:dyDescent="0.3">
      <c r="A82" s="111"/>
      <c r="B82" s="110" t="s">
        <v>157</v>
      </c>
      <c r="C82" s="38">
        <v>100000</v>
      </c>
      <c r="D82" s="18">
        <f t="shared" si="22"/>
        <v>100000</v>
      </c>
      <c r="E82" s="45">
        <v>100000</v>
      </c>
      <c r="F82" s="38"/>
      <c r="G82" s="38"/>
      <c r="H82" s="38"/>
      <c r="I82" s="15">
        <f t="shared" si="18"/>
        <v>100000</v>
      </c>
      <c r="J82" s="15">
        <f t="shared" si="19"/>
        <v>100000</v>
      </c>
      <c r="K82" s="118">
        <v>100000</v>
      </c>
      <c r="L82" s="75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5.75" hidden="1" customHeight="1" x14ac:dyDescent="0.3">
      <c r="A83" s="111"/>
      <c r="B83" s="110" t="s">
        <v>176</v>
      </c>
      <c r="C83" s="38"/>
      <c r="D83" s="18">
        <f t="shared" si="22"/>
        <v>180000</v>
      </c>
      <c r="E83" s="45">
        <v>180000</v>
      </c>
      <c r="F83" s="38"/>
      <c r="G83" s="38"/>
      <c r="H83" s="38"/>
      <c r="I83" s="15">
        <f t="shared" si="18"/>
        <v>180000</v>
      </c>
      <c r="J83" s="15">
        <f t="shared" si="19"/>
        <v>180000</v>
      </c>
      <c r="K83" s="118">
        <v>180000</v>
      </c>
      <c r="L83" s="75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5.75" hidden="1" customHeight="1" x14ac:dyDescent="0.3">
      <c r="A84" s="111" t="s">
        <v>62</v>
      </c>
      <c r="B84" s="110" t="s">
        <v>48</v>
      </c>
      <c r="C84" s="39">
        <f>SUM(C85:C95)</f>
        <v>1959761.76</v>
      </c>
      <c r="D84" s="17">
        <f>SUM(D85:D95)</f>
        <v>2861300</v>
      </c>
      <c r="E84" s="17">
        <f t="shared" ref="E84:H84" si="23">SUM(E85:E95)</f>
        <v>1022850</v>
      </c>
      <c r="F84" s="17">
        <f t="shared" si="23"/>
        <v>674350</v>
      </c>
      <c r="G84" s="17">
        <f t="shared" si="23"/>
        <v>580300</v>
      </c>
      <c r="H84" s="17">
        <f t="shared" si="23"/>
        <v>583800</v>
      </c>
      <c r="I84" s="15">
        <f t="shared" si="18"/>
        <v>1697200</v>
      </c>
      <c r="J84" s="15">
        <f t="shared" si="19"/>
        <v>2277500</v>
      </c>
      <c r="K84" s="113">
        <f>SUM(K85:K95)</f>
        <v>2146300</v>
      </c>
      <c r="L84" s="67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5.75" hidden="1" customHeight="1" x14ac:dyDescent="0.3">
      <c r="A85" s="111" t="s">
        <v>4</v>
      </c>
      <c r="B85" s="110" t="s">
        <v>49</v>
      </c>
      <c r="C85" s="38">
        <v>922322.22</v>
      </c>
      <c r="D85" s="18">
        <f t="shared" si="22"/>
        <v>739200</v>
      </c>
      <c r="E85" s="38">
        <v>184800</v>
      </c>
      <c r="F85" s="38">
        <v>184800</v>
      </c>
      <c r="G85" s="38">
        <v>184800</v>
      </c>
      <c r="H85" s="38">
        <v>184800</v>
      </c>
      <c r="I85" s="15">
        <f t="shared" si="18"/>
        <v>369600</v>
      </c>
      <c r="J85" s="15">
        <f t="shared" si="19"/>
        <v>554400</v>
      </c>
      <c r="K85" s="118">
        <v>619200</v>
      </c>
      <c r="L85" s="75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5.75" hidden="1" customHeight="1" x14ac:dyDescent="0.3">
      <c r="A86" s="111" t="s">
        <v>8</v>
      </c>
      <c r="B86" s="110" t="s">
        <v>117</v>
      </c>
      <c r="C86" s="38">
        <v>222140</v>
      </c>
      <c r="D86" s="18">
        <f t="shared" si="22"/>
        <v>240000</v>
      </c>
      <c r="E86" s="38">
        <v>60000</v>
      </c>
      <c r="F86" s="38">
        <v>60000</v>
      </c>
      <c r="G86" s="38">
        <v>60000</v>
      </c>
      <c r="H86" s="38">
        <v>60000</v>
      </c>
      <c r="I86" s="15">
        <f t="shared" si="18"/>
        <v>120000</v>
      </c>
      <c r="J86" s="15">
        <f t="shared" si="19"/>
        <v>180000</v>
      </c>
      <c r="K86" s="118">
        <v>225000</v>
      </c>
      <c r="L86" s="75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5.75" hidden="1" customHeight="1" x14ac:dyDescent="0.3">
      <c r="A87" s="111" t="s">
        <v>12</v>
      </c>
      <c r="B87" s="110" t="s">
        <v>148</v>
      </c>
      <c r="C87" s="38">
        <v>510067.42</v>
      </c>
      <c r="D87" s="18">
        <f t="shared" si="22"/>
        <v>544600</v>
      </c>
      <c r="E87" s="38">
        <f>70500+113050</f>
        <v>183550</v>
      </c>
      <c r="F87" s="38">
        <v>113050</v>
      </c>
      <c r="G87" s="38">
        <v>114000</v>
      </c>
      <c r="H87" s="38">
        <v>134000</v>
      </c>
      <c r="I87" s="15">
        <f t="shared" si="18"/>
        <v>296600</v>
      </c>
      <c r="J87" s="15">
        <f t="shared" si="19"/>
        <v>410600</v>
      </c>
      <c r="K87" s="118">
        <v>544600</v>
      </c>
      <c r="L87" s="75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5.75" hidden="1" customHeight="1" x14ac:dyDescent="0.3">
      <c r="A88" s="111" t="s">
        <v>34</v>
      </c>
      <c r="B88" s="110" t="s">
        <v>52</v>
      </c>
      <c r="C88" s="38">
        <v>55071.18</v>
      </c>
      <c r="D88" s="18">
        <f t="shared" si="22"/>
        <v>80000</v>
      </c>
      <c r="E88" s="38">
        <v>20000</v>
      </c>
      <c r="F88" s="38">
        <v>20000</v>
      </c>
      <c r="G88" s="38">
        <v>20000</v>
      </c>
      <c r="H88" s="38">
        <v>20000</v>
      </c>
      <c r="I88" s="15">
        <f t="shared" si="18"/>
        <v>40000</v>
      </c>
      <c r="J88" s="15">
        <f t="shared" si="19"/>
        <v>60000</v>
      </c>
      <c r="K88" s="118">
        <v>80000</v>
      </c>
      <c r="L88" s="75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15.75" hidden="1" customHeight="1" x14ac:dyDescent="0.3">
      <c r="A89" s="111" t="s">
        <v>55</v>
      </c>
      <c r="B89" s="110" t="s">
        <v>50</v>
      </c>
      <c r="C89" s="38">
        <v>33200</v>
      </c>
      <c r="D89" s="18">
        <f t="shared" si="22"/>
        <v>80000</v>
      </c>
      <c r="E89" s="38">
        <v>35000</v>
      </c>
      <c r="F89" s="38">
        <v>15000</v>
      </c>
      <c r="G89" s="38">
        <v>15000</v>
      </c>
      <c r="H89" s="38">
        <v>15000</v>
      </c>
      <c r="I89" s="15">
        <f t="shared" si="18"/>
        <v>50000</v>
      </c>
      <c r="J89" s="15">
        <f t="shared" si="19"/>
        <v>65000</v>
      </c>
      <c r="K89" s="118">
        <v>40000</v>
      </c>
      <c r="L89" s="75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5.75" hidden="1" customHeight="1" x14ac:dyDescent="0.3">
      <c r="A90" s="111" t="s">
        <v>64</v>
      </c>
      <c r="B90" s="110" t="s">
        <v>164</v>
      </c>
      <c r="C90" s="38">
        <v>5752</v>
      </c>
      <c r="D90" s="40">
        <f t="shared" si="22"/>
        <v>224500</v>
      </c>
      <c r="E90" s="38">
        <v>223000</v>
      </c>
      <c r="F90" s="38">
        <v>1500</v>
      </c>
      <c r="G90" s="38"/>
      <c r="H90" s="38"/>
      <c r="I90" s="15">
        <f t="shared" si="18"/>
        <v>224500</v>
      </c>
      <c r="J90" s="15">
        <f t="shared" si="19"/>
        <v>224500</v>
      </c>
      <c r="K90" s="120">
        <v>224500</v>
      </c>
      <c r="L90" s="7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5.75" hidden="1" customHeight="1" x14ac:dyDescent="0.3">
      <c r="A91" s="111" t="s">
        <v>133</v>
      </c>
      <c r="B91" s="110" t="s">
        <v>53</v>
      </c>
      <c r="C91" s="38">
        <v>89760.08</v>
      </c>
      <c r="D91" s="18">
        <f t="shared" si="22"/>
        <v>100000</v>
      </c>
      <c r="E91" s="38">
        <v>35000</v>
      </c>
      <c r="F91" s="38">
        <v>10000</v>
      </c>
      <c r="G91" s="38">
        <v>35000</v>
      </c>
      <c r="H91" s="38">
        <v>20000</v>
      </c>
      <c r="I91" s="15">
        <f t="shared" si="18"/>
        <v>45000</v>
      </c>
      <c r="J91" s="15">
        <f t="shared" si="19"/>
        <v>80000</v>
      </c>
      <c r="K91" s="118">
        <v>100000</v>
      </c>
      <c r="L91" s="75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5.75" hidden="1" customHeight="1" x14ac:dyDescent="0.3">
      <c r="A92" s="111" t="s">
        <v>143</v>
      </c>
      <c r="B92" s="110" t="s">
        <v>51</v>
      </c>
      <c r="C92" s="38">
        <v>37800</v>
      </c>
      <c r="D92" s="18">
        <f t="shared" si="22"/>
        <v>130000</v>
      </c>
      <c r="E92" s="38">
        <v>130000</v>
      </c>
      <c r="F92" s="38"/>
      <c r="G92" s="38"/>
      <c r="H92" s="38"/>
      <c r="I92" s="15">
        <f t="shared" si="18"/>
        <v>130000</v>
      </c>
      <c r="J92" s="15">
        <f t="shared" si="19"/>
        <v>130000</v>
      </c>
      <c r="K92" s="118">
        <v>130000</v>
      </c>
      <c r="L92" s="75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5.75" hidden="1" customHeight="1" x14ac:dyDescent="0.3">
      <c r="A93" s="111" t="s">
        <v>144</v>
      </c>
      <c r="B93" s="110" t="s">
        <v>72</v>
      </c>
      <c r="C93" s="38">
        <f>12580+37800</f>
        <v>50380</v>
      </c>
      <c r="D93" s="18">
        <f t="shared" si="22"/>
        <v>100000</v>
      </c>
      <c r="E93" s="38">
        <f>15000+10000</f>
        <v>25000</v>
      </c>
      <c r="F93" s="38">
        <f t="shared" ref="F93:H93" si="24">15000+10000</f>
        <v>25000</v>
      </c>
      <c r="G93" s="38">
        <f t="shared" si="24"/>
        <v>25000</v>
      </c>
      <c r="H93" s="38">
        <f t="shared" si="24"/>
        <v>25000</v>
      </c>
      <c r="I93" s="15">
        <f t="shared" si="18"/>
        <v>50000</v>
      </c>
      <c r="J93" s="15">
        <f t="shared" si="19"/>
        <v>75000</v>
      </c>
      <c r="K93" s="118">
        <v>60000</v>
      </c>
      <c r="L93" s="75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5.75" hidden="1" customHeight="1" x14ac:dyDescent="0.3">
      <c r="A94" s="111" t="s">
        <v>145</v>
      </c>
      <c r="B94" s="110" t="s">
        <v>114</v>
      </c>
      <c r="C94" s="38">
        <v>33268.86</v>
      </c>
      <c r="D94" s="18">
        <f>E94+F94+G94+H94</f>
        <v>483000</v>
      </c>
      <c r="E94" s="38">
        <v>121500</v>
      </c>
      <c r="F94" s="38">
        <v>120000</v>
      </c>
      <c r="G94" s="38">
        <v>121500</v>
      </c>
      <c r="H94" s="38">
        <v>120000</v>
      </c>
      <c r="I94" s="15">
        <f t="shared" si="18"/>
        <v>241500</v>
      </c>
      <c r="J94" s="15">
        <f t="shared" si="19"/>
        <v>363000</v>
      </c>
      <c r="K94" s="118">
        <v>3000</v>
      </c>
      <c r="L94" s="75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5.75" hidden="1" customHeight="1" x14ac:dyDescent="0.3">
      <c r="A95" s="111" t="s">
        <v>146</v>
      </c>
      <c r="B95" s="110" t="s">
        <v>160</v>
      </c>
      <c r="C95" s="38"/>
      <c r="D95" s="18">
        <f t="shared" ref="D95:D121" si="25">E95+F95+G95+H95</f>
        <v>140000</v>
      </c>
      <c r="E95" s="38">
        <v>5000</v>
      </c>
      <c r="F95" s="38">
        <f>120000+5000</f>
        <v>125000</v>
      </c>
      <c r="G95" s="38">
        <v>5000</v>
      </c>
      <c r="H95" s="38">
        <v>5000</v>
      </c>
      <c r="I95" s="15">
        <f t="shared" si="18"/>
        <v>130000</v>
      </c>
      <c r="J95" s="15">
        <f t="shared" si="19"/>
        <v>135000</v>
      </c>
      <c r="K95" s="118">
        <v>120000</v>
      </c>
      <c r="L95" s="75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5.75" hidden="1" customHeight="1" x14ac:dyDescent="0.3">
      <c r="A96" s="111" t="s">
        <v>120</v>
      </c>
      <c r="B96" s="110" t="s">
        <v>38</v>
      </c>
      <c r="C96" s="39">
        <f>SUM(C97:C100)</f>
        <v>1493664.91</v>
      </c>
      <c r="D96" s="17">
        <f>SUM(D97:D100)</f>
        <v>1526036.89</v>
      </c>
      <c r="E96" s="17">
        <f t="shared" ref="E96:H96" si="26">SUM(E97:E100)</f>
        <v>410605.18</v>
      </c>
      <c r="F96" s="17">
        <f t="shared" si="26"/>
        <v>368521.35</v>
      </c>
      <c r="G96" s="17">
        <f t="shared" si="26"/>
        <v>372532.24</v>
      </c>
      <c r="H96" s="17">
        <f t="shared" si="26"/>
        <v>374378.12</v>
      </c>
      <c r="I96" s="15">
        <f t="shared" si="18"/>
        <v>779126.53</v>
      </c>
      <c r="J96" s="15">
        <f t="shared" si="19"/>
        <v>1151658.77</v>
      </c>
      <c r="K96" s="113">
        <f>SUM(K97:K100)</f>
        <v>1526036.89</v>
      </c>
      <c r="L96" s="67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5.75" hidden="1" customHeight="1" x14ac:dyDescent="0.3">
      <c r="A97" s="111"/>
      <c r="B97" s="110" t="s">
        <v>39</v>
      </c>
      <c r="C97" s="38">
        <v>931115.4</v>
      </c>
      <c r="D97" s="18">
        <f t="shared" si="25"/>
        <v>939432.26</v>
      </c>
      <c r="E97" s="38">
        <v>229126.13</v>
      </c>
      <c r="F97" s="38">
        <v>229126.13</v>
      </c>
      <c r="G97" s="38">
        <v>240590</v>
      </c>
      <c r="H97" s="38">
        <v>240590</v>
      </c>
      <c r="I97" s="15">
        <f t="shared" si="18"/>
        <v>458252.26</v>
      </c>
      <c r="J97" s="15">
        <f t="shared" si="19"/>
        <v>698842.26</v>
      </c>
      <c r="K97" s="118">
        <v>939432.26</v>
      </c>
      <c r="L97" s="75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5.75" hidden="1" customHeight="1" x14ac:dyDescent="0.3">
      <c r="A98" s="111"/>
      <c r="B98" s="110" t="s">
        <v>40</v>
      </c>
      <c r="C98" s="38">
        <v>528665.59</v>
      </c>
      <c r="D98" s="18">
        <f t="shared" si="25"/>
        <v>544794</v>
      </c>
      <c r="E98" s="38">
        <v>169850</v>
      </c>
      <c r="F98" s="38">
        <v>129265</v>
      </c>
      <c r="G98" s="38">
        <v>122008</v>
      </c>
      <c r="H98" s="38">
        <v>123671</v>
      </c>
      <c r="I98" s="38">
        <f t="shared" si="18"/>
        <v>299115</v>
      </c>
      <c r="J98" s="38">
        <f t="shared" si="19"/>
        <v>421123</v>
      </c>
      <c r="K98" s="118">
        <v>544794</v>
      </c>
      <c r="L98" s="7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hidden="1" customHeight="1" x14ac:dyDescent="0.3">
      <c r="A99" s="111"/>
      <c r="B99" s="110" t="s">
        <v>41</v>
      </c>
      <c r="C99" s="38">
        <v>33883.919999999998</v>
      </c>
      <c r="D99" s="18">
        <f t="shared" si="25"/>
        <v>41810.629999999997</v>
      </c>
      <c r="E99" s="38">
        <v>11629.05</v>
      </c>
      <c r="F99" s="38">
        <v>10130.219999999999</v>
      </c>
      <c r="G99" s="38">
        <v>9934.24</v>
      </c>
      <c r="H99" s="38">
        <v>10117.120000000001</v>
      </c>
      <c r="I99" s="38">
        <f t="shared" si="18"/>
        <v>21759.269999999997</v>
      </c>
      <c r="J99" s="38">
        <f t="shared" si="19"/>
        <v>31693.509999999995</v>
      </c>
      <c r="K99" s="118">
        <v>41810.629999999997</v>
      </c>
      <c r="L99" s="7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hidden="1" customHeight="1" x14ac:dyDescent="0.3">
      <c r="A100" s="111"/>
      <c r="B100" s="110" t="s">
        <v>73</v>
      </c>
      <c r="C100" s="38"/>
      <c r="D100" s="18">
        <f t="shared" si="25"/>
        <v>0</v>
      </c>
      <c r="E100" s="51"/>
      <c r="F100" s="38"/>
      <c r="G100" s="38"/>
      <c r="H100" s="38"/>
      <c r="I100" s="38">
        <f t="shared" si="18"/>
        <v>0</v>
      </c>
      <c r="J100" s="38">
        <f t="shared" si="19"/>
        <v>0</v>
      </c>
      <c r="K100" s="118">
        <v>0</v>
      </c>
      <c r="L100" s="7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hidden="1" customHeight="1" x14ac:dyDescent="0.3">
      <c r="A101" s="111" t="s">
        <v>125</v>
      </c>
      <c r="B101" s="110" t="s">
        <v>74</v>
      </c>
      <c r="C101" s="39">
        <f>SUM(C102:C106)</f>
        <v>2830727.12</v>
      </c>
      <c r="D101" s="17">
        <f>SUM(D102:D106)</f>
        <v>3843279.17</v>
      </c>
      <c r="E101" s="17">
        <f t="shared" ref="E101:H101" si="27">SUM(E102:E106)</f>
        <v>1732882.77</v>
      </c>
      <c r="F101" s="17">
        <f t="shared" si="27"/>
        <v>829682.25</v>
      </c>
      <c r="G101" s="17">
        <f t="shared" si="27"/>
        <v>672832.28</v>
      </c>
      <c r="H101" s="17">
        <f t="shared" si="27"/>
        <v>607881.87</v>
      </c>
      <c r="I101" s="38">
        <f t="shared" ref="I101:J101" si="28">I102+I103+I104+I105</f>
        <v>889348</v>
      </c>
      <c r="J101" s="38">
        <f t="shared" si="28"/>
        <v>1293522</v>
      </c>
      <c r="K101" s="113">
        <f>SUM(K102:K106)</f>
        <v>3704337.27</v>
      </c>
      <c r="L101" s="67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ht="15.75" hidden="1" customHeight="1" x14ac:dyDescent="0.3">
      <c r="A102" s="111"/>
      <c r="B102" s="110" t="s">
        <v>137</v>
      </c>
      <c r="C102" s="47">
        <v>927662.93</v>
      </c>
      <c r="D102" s="18">
        <f t="shared" si="25"/>
        <v>690000</v>
      </c>
      <c r="E102" s="38">
        <v>225000</v>
      </c>
      <c r="F102" s="38">
        <v>155000</v>
      </c>
      <c r="G102" s="38">
        <v>155000</v>
      </c>
      <c r="H102" s="38">
        <v>155000</v>
      </c>
      <c r="I102" s="38">
        <f t="shared" si="18"/>
        <v>380000</v>
      </c>
      <c r="J102" s="38">
        <f t="shared" si="19"/>
        <v>535000</v>
      </c>
      <c r="K102" s="118">
        <v>550000</v>
      </c>
      <c r="L102" s="75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ht="15.75" hidden="1" customHeight="1" x14ac:dyDescent="0.3">
      <c r="A103" s="111"/>
      <c r="B103" s="110" t="s">
        <v>81</v>
      </c>
      <c r="C103" s="47">
        <v>224090</v>
      </c>
      <c r="D103" s="18">
        <f t="shared" si="25"/>
        <v>241000</v>
      </c>
      <c r="E103" s="38">
        <v>61000</v>
      </c>
      <c r="F103" s="38">
        <v>60000</v>
      </c>
      <c r="G103" s="38">
        <v>60000</v>
      </c>
      <c r="H103" s="38">
        <v>60000</v>
      </c>
      <c r="I103" s="38">
        <f t="shared" si="18"/>
        <v>121000</v>
      </c>
      <c r="J103" s="38">
        <f t="shared" si="19"/>
        <v>181000</v>
      </c>
      <c r="K103" s="118">
        <v>241000</v>
      </c>
      <c r="L103" s="75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ht="15.75" hidden="1" customHeight="1" x14ac:dyDescent="0.3">
      <c r="A104" s="111"/>
      <c r="B104" s="110" t="s">
        <v>82</v>
      </c>
      <c r="C104" s="47">
        <v>610527.79</v>
      </c>
      <c r="D104" s="18">
        <f t="shared" si="25"/>
        <v>623016</v>
      </c>
      <c r="E104" s="38">
        <v>155754</v>
      </c>
      <c r="F104" s="38">
        <v>155754</v>
      </c>
      <c r="G104" s="38">
        <v>155754</v>
      </c>
      <c r="H104" s="38">
        <v>155754</v>
      </c>
      <c r="I104" s="38">
        <f t="shared" si="18"/>
        <v>311508</v>
      </c>
      <c r="J104" s="38">
        <f t="shared" si="19"/>
        <v>467262</v>
      </c>
      <c r="K104" s="118">
        <v>623016</v>
      </c>
      <c r="L104" s="75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ht="15.75" hidden="1" customHeight="1" x14ac:dyDescent="0.3">
      <c r="A105" s="111"/>
      <c r="B105" s="110" t="s">
        <v>135</v>
      </c>
      <c r="C105" s="47">
        <v>181244.88</v>
      </c>
      <c r="D105" s="18">
        <f t="shared" si="25"/>
        <v>153680</v>
      </c>
      <c r="E105" s="38">
        <v>33420</v>
      </c>
      <c r="F105" s="38">
        <v>43420</v>
      </c>
      <c r="G105" s="38">
        <v>33420</v>
      </c>
      <c r="H105" s="38">
        <v>43420</v>
      </c>
      <c r="I105" s="38">
        <f t="shared" si="18"/>
        <v>76840</v>
      </c>
      <c r="J105" s="38">
        <f t="shared" si="19"/>
        <v>110260</v>
      </c>
      <c r="K105" s="118">
        <v>153680</v>
      </c>
      <c r="L105" s="75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ht="15.75" hidden="1" customHeight="1" x14ac:dyDescent="0.3">
      <c r="A106" s="111"/>
      <c r="B106" s="110" t="s">
        <v>167</v>
      </c>
      <c r="C106" s="47">
        <v>887201.52</v>
      </c>
      <c r="D106" s="18">
        <f t="shared" si="25"/>
        <v>2135583.17</v>
      </c>
      <c r="E106" s="18">
        <f>221800.38+1035908.39</f>
        <v>1257708.77</v>
      </c>
      <c r="F106" s="38">
        <f>221800.38+193707.87</f>
        <v>415508.25</v>
      </c>
      <c r="G106" s="38">
        <f>74950.41+193707.87</f>
        <v>268658.28000000003</v>
      </c>
      <c r="H106" s="38">
        <v>193707.87</v>
      </c>
      <c r="I106" s="38">
        <f t="shared" si="18"/>
        <v>1673217.02</v>
      </c>
      <c r="J106" s="38">
        <f t="shared" si="19"/>
        <v>1941875.3</v>
      </c>
      <c r="K106" s="120">
        <v>2136641.27</v>
      </c>
      <c r="L106" s="7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hidden="1" customHeight="1" x14ac:dyDescent="0.3">
      <c r="A107" s="111" t="s">
        <v>126</v>
      </c>
      <c r="B107" s="110" t="s">
        <v>45</v>
      </c>
      <c r="C107" s="39">
        <v>308310.03999999998</v>
      </c>
      <c r="D107" s="17">
        <f t="shared" si="25"/>
        <v>180000</v>
      </c>
      <c r="E107" s="39">
        <v>45000</v>
      </c>
      <c r="F107" s="39">
        <v>45000</v>
      </c>
      <c r="G107" s="39">
        <v>45000</v>
      </c>
      <c r="H107" s="39">
        <v>45000</v>
      </c>
      <c r="I107" s="38">
        <f t="shared" si="18"/>
        <v>90000</v>
      </c>
      <c r="J107" s="38">
        <f t="shared" si="19"/>
        <v>135000</v>
      </c>
      <c r="K107" s="113">
        <v>180000</v>
      </c>
      <c r="L107" s="67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5.75" hidden="1" customHeight="1" x14ac:dyDescent="0.3">
      <c r="A108" s="111" t="s">
        <v>127</v>
      </c>
      <c r="B108" s="110" t="s">
        <v>43</v>
      </c>
      <c r="C108" s="39">
        <v>49043.75</v>
      </c>
      <c r="D108" s="17">
        <f t="shared" si="25"/>
        <v>342500</v>
      </c>
      <c r="E108" s="39">
        <v>137500</v>
      </c>
      <c r="F108" s="39">
        <v>100000</v>
      </c>
      <c r="G108" s="39">
        <v>52500</v>
      </c>
      <c r="H108" s="39">
        <v>52500</v>
      </c>
      <c r="I108" s="15">
        <f t="shared" si="18"/>
        <v>237500</v>
      </c>
      <c r="J108" s="15">
        <f t="shared" si="19"/>
        <v>290000</v>
      </c>
      <c r="K108" s="113">
        <v>175000</v>
      </c>
      <c r="L108" s="67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15.75" hidden="1" customHeight="1" x14ac:dyDescent="0.3">
      <c r="A109" s="111" t="s">
        <v>128</v>
      </c>
      <c r="B109" s="110" t="s">
        <v>172</v>
      </c>
      <c r="C109" s="99"/>
      <c r="D109" s="17">
        <f t="shared" si="25"/>
        <v>60000</v>
      </c>
      <c r="E109" s="39">
        <v>15000</v>
      </c>
      <c r="F109" s="39">
        <v>15000</v>
      </c>
      <c r="G109" s="39">
        <v>15000</v>
      </c>
      <c r="H109" s="39">
        <v>15000</v>
      </c>
      <c r="I109" s="15">
        <f t="shared" si="18"/>
        <v>30000</v>
      </c>
      <c r="J109" s="15">
        <f t="shared" si="19"/>
        <v>45000</v>
      </c>
      <c r="K109" s="113">
        <v>60000</v>
      </c>
      <c r="L109" s="67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ht="15.75" hidden="1" customHeight="1" x14ac:dyDescent="0.3">
      <c r="A110" s="111" t="s">
        <v>129</v>
      </c>
      <c r="B110" s="110" t="s">
        <v>149</v>
      </c>
      <c r="C110" s="39">
        <v>4000</v>
      </c>
      <c r="D110" s="17">
        <f t="shared" si="25"/>
        <v>7989.96</v>
      </c>
      <c r="E110" s="39">
        <v>1997.49</v>
      </c>
      <c r="F110" s="39">
        <v>1997.49</v>
      </c>
      <c r="G110" s="39">
        <v>1997.49</v>
      </c>
      <c r="H110" s="39">
        <v>1997.49</v>
      </c>
      <c r="I110" s="15">
        <f t="shared" si="18"/>
        <v>3994.98</v>
      </c>
      <c r="J110" s="15">
        <f t="shared" si="19"/>
        <v>5992.47</v>
      </c>
      <c r="K110" s="113">
        <v>7900</v>
      </c>
      <c r="L110" s="67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ht="15.75" hidden="1" customHeight="1" x14ac:dyDescent="0.3">
      <c r="A111" s="111" t="s">
        <v>128</v>
      </c>
      <c r="B111" s="110" t="s">
        <v>46</v>
      </c>
      <c r="C111" s="39">
        <v>43218.04</v>
      </c>
      <c r="D111" s="17">
        <f t="shared" si="25"/>
        <v>49100</v>
      </c>
      <c r="E111" s="39">
        <v>6000</v>
      </c>
      <c r="F111" s="39">
        <v>6000</v>
      </c>
      <c r="G111" s="39">
        <f>21600+6000</f>
        <v>27600</v>
      </c>
      <c r="H111" s="39">
        <f>3500+6000</f>
        <v>9500</v>
      </c>
      <c r="I111" s="15">
        <f t="shared" si="18"/>
        <v>12000</v>
      </c>
      <c r="J111" s="15">
        <f t="shared" si="19"/>
        <v>39600</v>
      </c>
      <c r="K111" s="113">
        <v>49100</v>
      </c>
      <c r="L111" s="67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ht="15.75" hidden="1" customHeight="1" x14ac:dyDescent="0.3">
      <c r="A112" s="111" t="s">
        <v>129</v>
      </c>
      <c r="B112" s="110" t="s">
        <v>35</v>
      </c>
      <c r="C112" s="39">
        <f>SUM(C113:C116)</f>
        <v>219903</v>
      </c>
      <c r="D112" s="17">
        <f>SUM(D113:D116)</f>
        <v>241520</v>
      </c>
      <c r="E112" s="17">
        <f t="shared" ref="E112:H112" si="29">SUM(E113:E116)</f>
        <v>196520</v>
      </c>
      <c r="F112" s="17">
        <f t="shared" si="29"/>
        <v>15000</v>
      </c>
      <c r="G112" s="17">
        <f t="shared" si="29"/>
        <v>15000</v>
      </c>
      <c r="H112" s="17">
        <f t="shared" si="29"/>
        <v>15000</v>
      </c>
      <c r="I112" s="15">
        <f t="shared" si="18"/>
        <v>211520</v>
      </c>
      <c r="J112" s="15">
        <f t="shared" si="19"/>
        <v>226520</v>
      </c>
      <c r="K112" s="113" t="e">
        <f>SUM(K113:K116)</f>
        <v>#REF!</v>
      </c>
      <c r="L112" s="67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5.75" hidden="1" customHeight="1" x14ac:dyDescent="0.3">
      <c r="A113" s="111"/>
      <c r="B113" s="110" t="s">
        <v>80</v>
      </c>
      <c r="C113" s="100"/>
      <c r="D113" s="18">
        <f t="shared" si="25"/>
        <v>0</v>
      </c>
      <c r="E113" s="51"/>
      <c r="F113" s="38"/>
      <c r="G113" s="38"/>
      <c r="H113" s="38"/>
      <c r="I113" s="15">
        <f t="shared" si="18"/>
        <v>0</v>
      </c>
      <c r="J113" s="15">
        <f t="shared" si="19"/>
        <v>0</v>
      </c>
      <c r="K113" s="118" t="e">
        <f>L113+#REF!+#REF!+#REF!</f>
        <v>#REF!</v>
      </c>
      <c r="L113" s="75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5.75" hidden="1" customHeight="1" x14ac:dyDescent="0.3">
      <c r="A114" s="111"/>
      <c r="B114" s="110" t="s">
        <v>115</v>
      </c>
      <c r="C114" s="100"/>
      <c r="D114" s="18">
        <f t="shared" si="25"/>
        <v>0</v>
      </c>
      <c r="E114" s="51"/>
      <c r="F114" s="38"/>
      <c r="G114" s="38"/>
      <c r="H114" s="38"/>
      <c r="I114" s="15">
        <f t="shared" si="18"/>
        <v>0</v>
      </c>
      <c r="J114" s="15">
        <f t="shared" si="19"/>
        <v>0</v>
      </c>
      <c r="K114" s="118" t="e">
        <f>L114+#REF!+#REF!+#REF!</f>
        <v>#REF!</v>
      </c>
      <c r="L114" s="75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5.75" hidden="1" customHeight="1" x14ac:dyDescent="0.3">
      <c r="A115" s="111"/>
      <c r="B115" s="110" t="s">
        <v>71</v>
      </c>
      <c r="C115" s="47">
        <v>181520</v>
      </c>
      <c r="D115" s="18">
        <f t="shared" si="25"/>
        <v>181520</v>
      </c>
      <c r="E115" s="38">
        <v>181520</v>
      </c>
      <c r="F115" s="38"/>
      <c r="G115" s="38"/>
      <c r="H115" s="38"/>
      <c r="I115" s="15">
        <f t="shared" si="18"/>
        <v>181520</v>
      </c>
      <c r="J115" s="15">
        <f t="shared" si="19"/>
        <v>181520</v>
      </c>
      <c r="K115" s="118">
        <v>151185</v>
      </c>
      <c r="L115" s="75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ht="16.5" hidden="1" customHeight="1" thickBot="1" x14ac:dyDescent="0.3">
      <c r="A116" s="111"/>
      <c r="B116" s="110" t="s">
        <v>116</v>
      </c>
      <c r="C116" s="47">
        <v>38383</v>
      </c>
      <c r="D116" s="18">
        <f t="shared" si="25"/>
        <v>60000</v>
      </c>
      <c r="E116" s="38">
        <v>15000</v>
      </c>
      <c r="F116" s="38">
        <v>15000</v>
      </c>
      <c r="G116" s="38">
        <v>15000</v>
      </c>
      <c r="H116" s="38">
        <v>15000</v>
      </c>
      <c r="I116" s="15">
        <f t="shared" si="18"/>
        <v>30000</v>
      </c>
      <c r="J116" s="15">
        <f t="shared" si="19"/>
        <v>45000</v>
      </c>
      <c r="K116" s="118">
        <v>40000</v>
      </c>
      <c r="L116" s="75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ht="16.5" thickBot="1" x14ac:dyDescent="0.3">
      <c r="A117" s="111">
        <v>5</v>
      </c>
      <c r="B117" s="110" t="s">
        <v>56</v>
      </c>
      <c r="C117" s="28">
        <f>SUM(C118:C120)</f>
        <v>352107</v>
      </c>
      <c r="D117" s="28">
        <f>SUM(D118:D120)</f>
        <v>344578.2</v>
      </c>
      <c r="E117" s="28">
        <f>E118+E119+E120</f>
        <v>74313.600000000006</v>
      </c>
      <c r="F117" s="28">
        <f>F118+F119+F120</f>
        <v>58977</v>
      </c>
      <c r="G117" s="28">
        <f>G118+G119+G120</f>
        <v>60050.399999999994</v>
      </c>
      <c r="H117" s="28">
        <f>H118+H119+H120</f>
        <v>151237.20000000001</v>
      </c>
      <c r="I117" s="15">
        <f t="shared" si="18"/>
        <v>133290.6</v>
      </c>
      <c r="J117" s="15">
        <f t="shared" si="19"/>
        <v>193341</v>
      </c>
      <c r="K117" s="112">
        <v>212344</v>
      </c>
      <c r="L117" s="70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hidden="1" customHeight="1" x14ac:dyDescent="0.3">
      <c r="A118" s="111" t="s">
        <v>130</v>
      </c>
      <c r="B118" s="110" t="s">
        <v>100</v>
      </c>
      <c r="C118" s="39">
        <v>164862</v>
      </c>
      <c r="D118" s="39">
        <f>SUM(E118:H118)</f>
        <v>134578.20000000001</v>
      </c>
      <c r="E118" s="39">
        <f>E19*0.03</f>
        <v>44313.599999999999</v>
      </c>
      <c r="F118" s="39">
        <f>F19*0.03</f>
        <v>28977</v>
      </c>
      <c r="G118" s="39">
        <f>G19*0.03</f>
        <v>30050.399999999998</v>
      </c>
      <c r="H118" s="39">
        <f>H19*0.03</f>
        <v>31237.199999999997</v>
      </c>
      <c r="I118" s="15">
        <f t="shared" si="18"/>
        <v>73290.600000000006</v>
      </c>
      <c r="J118" s="15">
        <f t="shared" si="19"/>
        <v>103341</v>
      </c>
      <c r="K118" s="121">
        <f>K19*0.03</f>
        <v>52344</v>
      </c>
      <c r="L118" s="78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ht="15.75" hidden="1" customHeight="1" x14ac:dyDescent="0.3">
      <c r="A119" s="111" t="s">
        <v>131</v>
      </c>
      <c r="B119" s="110" t="s">
        <v>61</v>
      </c>
      <c r="C119" s="39">
        <v>94015</v>
      </c>
      <c r="D119" s="39">
        <f t="shared" si="25"/>
        <v>100000</v>
      </c>
      <c r="E119" s="39"/>
      <c r="F119" s="39"/>
      <c r="G119" s="39"/>
      <c r="H119" s="39">
        <v>100000</v>
      </c>
      <c r="I119" s="15">
        <f t="shared" si="18"/>
        <v>0</v>
      </c>
      <c r="J119" s="15">
        <f t="shared" si="19"/>
        <v>0</v>
      </c>
      <c r="K119" s="121">
        <v>100000</v>
      </c>
      <c r="L119" s="78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ht="16.5" hidden="1" customHeight="1" thickBot="1" x14ac:dyDescent="0.3">
      <c r="A120" s="111" t="s">
        <v>132</v>
      </c>
      <c r="B120" s="110" t="s">
        <v>99</v>
      </c>
      <c r="C120" s="39">
        <v>93230</v>
      </c>
      <c r="D120" s="39">
        <f t="shared" si="25"/>
        <v>110000</v>
      </c>
      <c r="E120" s="39">
        <v>30000</v>
      </c>
      <c r="F120" s="39">
        <v>30000</v>
      </c>
      <c r="G120" s="39">
        <v>30000</v>
      </c>
      <c r="H120" s="39">
        <v>20000</v>
      </c>
      <c r="I120" s="15">
        <f t="shared" si="18"/>
        <v>60000</v>
      </c>
      <c r="J120" s="15">
        <f t="shared" si="19"/>
        <v>90000</v>
      </c>
      <c r="K120" s="121">
        <v>110000</v>
      </c>
      <c r="L120" s="78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ht="16.5" thickBot="1" x14ac:dyDescent="0.3">
      <c r="A121" s="111">
        <v>6</v>
      </c>
      <c r="B121" s="110" t="s">
        <v>65</v>
      </c>
      <c r="C121" s="28">
        <v>0</v>
      </c>
      <c r="D121" s="28">
        <f t="shared" si="25"/>
        <v>0</v>
      </c>
      <c r="E121" s="28"/>
      <c r="F121" s="28"/>
      <c r="G121" s="28"/>
      <c r="H121" s="28"/>
      <c r="I121" s="15">
        <f t="shared" si="18"/>
        <v>0</v>
      </c>
      <c r="J121" s="15">
        <f t="shared" si="19"/>
        <v>0</v>
      </c>
      <c r="K121" s="112" t="s">
        <v>183</v>
      </c>
      <c r="L121" s="70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25">
      <c r="A122" s="101"/>
      <c r="B122" s="41"/>
      <c r="C122" s="102"/>
      <c r="D122" s="42"/>
      <c r="E122" s="53"/>
      <c r="F122" s="43"/>
      <c r="G122" s="43"/>
      <c r="H122" s="43"/>
      <c r="I122" s="15">
        <f t="shared" si="18"/>
        <v>0</v>
      </c>
      <c r="J122" s="15">
        <f t="shared" si="19"/>
        <v>0</v>
      </c>
      <c r="K122" s="42"/>
      <c r="L122" s="7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ht="15.75" hidden="1" customHeight="1" x14ac:dyDescent="0.25">
      <c r="A123" s="89"/>
      <c r="B123" s="21" t="s">
        <v>66</v>
      </c>
      <c r="C123" s="44" t="e">
        <f>C6+C8-C28</f>
        <v>#REF!</v>
      </c>
      <c r="D123" s="44" t="e">
        <f>D6+D8-D28</f>
        <v>#REF!</v>
      </c>
      <c r="E123" s="44" t="e">
        <f t="shared" ref="E123:K123" si="30">E6+E8-E28</f>
        <v>#REF!</v>
      </c>
      <c r="F123" s="44" t="e">
        <f t="shared" si="30"/>
        <v>#REF!</v>
      </c>
      <c r="G123" s="44" t="e">
        <f t="shared" si="30"/>
        <v>#REF!</v>
      </c>
      <c r="H123" s="44" t="e">
        <f t="shared" si="30"/>
        <v>#REF!</v>
      </c>
      <c r="I123" s="44" t="e">
        <f t="shared" si="30"/>
        <v>#REF!</v>
      </c>
      <c r="J123" s="44" t="e">
        <f t="shared" si="30"/>
        <v>#REF!</v>
      </c>
      <c r="K123" s="44">
        <f t="shared" si="30"/>
        <v>31588626</v>
      </c>
      <c r="L123" s="80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ht="16.5" thickBot="1" x14ac:dyDescent="0.3">
      <c r="A124" s="101"/>
      <c r="B124" s="103" t="s">
        <v>138</v>
      </c>
      <c r="C124" s="104" t="e">
        <f>C8-C28</f>
        <v>#REF!</v>
      </c>
      <c r="D124" s="105" t="e">
        <f t="shared" ref="D124:K124" si="31">D8-D28</f>
        <v>#REF!</v>
      </c>
      <c r="E124" s="106" t="e">
        <f t="shared" si="31"/>
        <v>#REF!</v>
      </c>
      <c r="F124" s="106" t="e">
        <f t="shared" si="31"/>
        <v>#REF!</v>
      </c>
      <c r="G124" s="106" t="e">
        <f t="shared" si="31"/>
        <v>#REF!</v>
      </c>
      <c r="H124" s="106" t="e">
        <f t="shared" si="31"/>
        <v>#REF!</v>
      </c>
      <c r="I124" s="106" t="e">
        <f t="shared" si="31"/>
        <v>#REF!</v>
      </c>
      <c r="J124" s="106" t="e">
        <f t="shared" si="31"/>
        <v>#REF!</v>
      </c>
      <c r="K124" s="105">
        <f t="shared" si="31"/>
        <v>-2671544</v>
      </c>
      <c r="L124" s="8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 hidden="1" customHeight="1" x14ac:dyDescent="0.25">
      <c r="A125" s="126" t="s">
        <v>163</v>
      </c>
      <c r="B125" s="126"/>
      <c r="C125" s="126"/>
      <c r="D125" s="126"/>
      <c r="E125" s="54"/>
      <c r="F125" s="123"/>
      <c r="G125" s="123"/>
      <c r="H125" s="123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ht="15.75" hidden="1" customHeight="1" x14ac:dyDescent="0.25">
      <c r="A126" s="126"/>
      <c r="B126" s="126"/>
      <c r="C126" s="126"/>
      <c r="D126" s="126"/>
      <c r="E126" s="54"/>
      <c r="F126" s="123"/>
      <c r="G126" s="8" t="s">
        <v>142</v>
      </c>
      <c r="H126" s="123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</sheetData>
  <mergeCells count="1">
    <mergeCell ref="A3:B3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Лист7</vt:lpstr>
      <vt:lpstr>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Юлия Ивановна</dc:creator>
  <cp:lastModifiedBy>Суриков Сергей Александрович</cp:lastModifiedBy>
  <cp:lastPrinted>2021-02-17T13:29:57Z</cp:lastPrinted>
  <dcterms:created xsi:type="dcterms:W3CDTF">2010-04-21T06:00:44Z</dcterms:created>
  <dcterms:modified xsi:type="dcterms:W3CDTF">2022-02-21T13:34:27Z</dcterms:modified>
</cp:coreProperties>
</file>